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2CD9218B-856B-4C7B-B474-02003CDD23AF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Spieltag!$B$1:$I$610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H296" i="6" l="1"/>
  <c r="W132" i="6"/>
  <c r="V132" i="6"/>
  <c r="U132" i="6"/>
  <c r="S132" i="6"/>
  <c r="N132" i="6"/>
  <c r="L132" i="6"/>
  <c r="J132" i="6"/>
  <c r="H132" i="6"/>
  <c r="E132" i="6"/>
  <c r="D132" i="6"/>
  <c r="C132" i="6"/>
  <c r="B132" i="6"/>
  <c r="AB119" i="41"/>
  <c r="W250" i="6"/>
  <c r="V250" i="6"/>
  <c r="U250" i="6"/>
  <c r="S250" i="6"/>
  <c r="N250" i="6"/>
  <c r="L250" i="6"/>
  <c r="J250" i="6"/>
  <c r="H250" i="6"/>
  <c r="E250" i="6"/>
  <c r="D250" i="6"/>
  <c r="C250" i="6"/>
  <c r="B250" i="6"/>
  <c r="AB237" i="41"/>
  <c r="W113" i="6"/>
  <c r="V113" i="6"/>
  <c r="U113" i="6"/>
  <c r="S113" i="6"/>
  <c r="N113" i="6"/>
  <c r="L113" i="6"/>
  <c r="J113" i="6"/>
  <c r="H113" i="6"/>
  <c r="E113" i="6"/>
  <c r="D113" i="6"/>
  <c r="C113" i="6"/>
  <c r="B113" i="6"/>
  <c r="AB100" i="41"/>
  <c r="W423" i="6"/>
  <c r="V423" i="6"/>
  <c r="U423" i="6"/>
  <c r="S423" i="6"/>
  <c r="N423" i="6"/>
  <c r="L423" i="6"/>
  <c r="J423" i="6"/>
  <c r="H423" i="6"/>
  <c r="E423" i="6"/>
  <c r="D423" i="6"/>
  <c r="C423" i="6"/>
  <c r="B423" i="6"/>
  <c r="AB411" i="4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335" i="6"/>
  <c r="V335" i="6"/>
  <c r="U335" i="6"/>
  <c r="S335" i="6"/>
  <c r="N335" i="6"/>
  <c r="L335" i="6"/>
  <c r="J335" i="6"/>
  <c r="H335" i="6"/>
  <c r="E335" i="6"/>
  <c r="D335" i="6"/>
  <c r="C335" i="6"/>
  <c r="B335" i="6"/>
  <c r="AB322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AB151" i="41"/>
  <c r="AB147" i="41"/>
  <c r="W168" i="6"/>
  <c r="V168" i="6"/>
  <c r="U168" i="6"/>
  <c r="S168" i="6"/>
  <c r="N168" i="6"/>
  <c r="L168" i="6"/>
  <c r="J168" i="6"/>
  <c r="H168" i="6"/>
  <c r="E168" i="6"/>
  <c r="D168" i="6"/>
  <c r="C168" i="6"/>
  <c r="B168" i="6"/>
  <c r="AB155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AB424" i="41"/>
  <c r="AB420" i="41"/>
  <c r="W422" i="6"/>
  <c r="V422" i="6"/>
  <c r="U422" i="6"/>
  <c r="S422" i="6"/>
  <c r="N422" i="6"/>
  <c r="L422" i="6"/>
  <c r="J422" i="6"/>
  <c r="H422" i="6"/>
  <c r="E422" i="6"/>
  <c r="D422" i="6"/>
  <c r="C422" i="6"/>
  <c r="B422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AB410" i="41"/>
  <c r="AB402" i="41"/>
  <c r="W408" i="6"/>
  <c r="V408" i="6"/>
  <c r="U408" i="6"/>
  <c r="S408" i="6"/>
  <c r="N408" i="6"/>
  <c r="L408" i="6"/>
  <c r="J408" i="6"/>
  <c r="H408" i="6"/>
  <c r="E408" i="6"/>
  <c r="D408" i="6"/>
  <c r="C408" i="6"/>
  <c r="B408" i="6"/>
  <c r="AB395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AB269" i="41"/>
  <c r="W69" i="6"/>
  <c r="V69" i="6"/>
  <c r="U69" i="6"/>
  <c r="S69" i="6"/>
  <c r="N69" i="6"/>
  <c r="L69" i="6"/>
  <c r="J69" i="6"/>
  <c r="H69" i="6"/>
  <c r="E69" i="6"/>
  <c r="D69" i="6"/>
  <c r="C69" i="6"/>
  <c r="B69" i="6"/>
  <c r="AB56" i="41"/>
  <c r="W28" i="6"/>
  <c r="V28" i="6"/>
  <c r="U28" i="6"/>
  <c r="S28" i="6"/>
  <c r="N28" i="6"/>
  <c r="L28" i="6"/>
  <c r="J28" i="6"/>
  <c r="H28" i="6"/>
  <c r="E28" i="6"/>
  <c r="D28" i="6"/>
  <c r="C28" i="6"/>
  <c r="B28" i="6"/>
  <c r="V17" i="6"/>
  <c r="U17" i="6"/>
  <c r="S17" i="6"/>
  <c r="N17" i="6"/>
  <c r="L17" i="6"/>
  <c r="J17" i="6"/>
  <c r="H17" i="6"/>
  <c r="E17" i="6"/>
  <c r="D17" i="6"/>
  <c r="C17" i="6"/>
  <c r="B17" i="6"/>
  <c r="AB4" i="41"/>
  <c r="AB15" i="41"/>
  <c r="W433" i="6"/>
  <c r="V433" i="6"/>
  <c r="U433" i="6"/>
  <c r="S433" i="6"/>
  <c r="N433" i="6"/>
  <c r="L433" i="6"/>
  <c r="J433" i="6"/>
  <c r="H433" i="6"/>
  <c r="E433" i="6"/>
  <c r="D433" i="6"/>
  <c r="C433" i="6"/>
  <c r="B433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4" i="6"/>
  <c r="V424" i="6"/>
  <c r="U424" i="6"/>
  <c r="S424" i="6"/>
  <c r="N424" i="6"/>
  <c r="L424" i="6"/>
  <c r="J424" i="6"/>
  <c r="H424" i="6"/>
  <c r="E424" i="6"/>
  <c r="D424" i="6"/>
  <c r="C424" i="6"/>
  <c r="B424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6" i="6"/>
  <c r="V416" i="6"/>
  <c r="U416" i="6"/>
  <c r="S416" i="6"/>
  <c r="N416" i="6"/>
  <c r="L416" i="6"/>
  <c r="J416" i="6"/>
  <c r="H416" i="6"/>
  <c r="E416" i="6"/>
  <c r="D416" i="6"/>
  <c r="C416" i="6"/>
  <c r="B416" i="6"/>
  <c r="W415" i="6"/>
  <c r="V415" i="6"/>
  <c r="U415" i="6"/>
  <c r="S415" i="6"/>
  <c r="N415" i="6"/>
  <c r="L415" i="6"/>
  <c r="J415" i="6"/>
  <c r="H415" i="6"/>
  <c r="E415" i="6"/>
  <c r="D415" i="6"/>
  <c r="C415" i="6"/>
  <c r="B415" i="6"/>
  <c r="AB404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W87" i="6"/>
  <c r="V87" i="6"/>
  <c r="U87" i="6"/>
  <c r="S87" i="6"/>
  <c r="N87" i="6"/>
  <c r="L87" i="6"/>
  <c r="J87" i="6"/>
  <c r="H87" i="6"/>
  <c r="E87" i="6"/>
  <c r="D87" i="6"/>
  <c r="C87" i="6"/>
  <c r="B87" i="6"/>
  <c r="AB74" i="41"/>
  <c r="W37" i="6"/>
  <c r="V37" i="6"/>
  <c r="U37" i="6"/>
  <c r="S37" i="6"/>
  <c r="N37" i="6"/>
  <c r="L37" i="6"/>
  <c r="J37" i="6"/>
  <c r="H37" i="6"/>
  <c r="E37" i="6"/>
  <c r="D37" i="6"/>
  <c r="C37" i="6"/>
  <c r="B37" i="6"/>
  <c r="AB24" i="41"/>
  <c r="L37" i="8"/>
  <c r="H37" i="8"/>
  <c r="D37" i="8"/>
  <c r="L20" i="8"/>
  <c r="H20" i="8"/>
  <c r="D20" i="8"/>
  <c r="L3" i="8"/>
  <c r="H3" i="8"/>
  <c r="D3" i="8"/>
  <c r="W566" i="6"/>
  <c r="V566" i="6"/>
  <c r="U566" i="6"/>
  <c r="S566" i="6"/>
  <c r="N566" i="6"/>
  <c r="L566" i="6"/>
  <c r="J566" i="6"/>
  <c r="H566" i="6"/>
  <c r="E566" i="6"/>
  <c r="D566" i="6"/>
  <c r="C566" i="6"/>
  <c r="B566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4" i="6"/>
  <c r="V564" i="6"/>
  <c r="U564" i="6"/>
  <c r="S564" i="6"/>
  <c r="N564" i="6"/>
  <c r="L564" i="6"/>
  <c r="J564" i="6"/>
  <c r="H564" i="6"/>
  <c r="E564" i="6"/>
  <c r="D564" i="6"/>
  <c r="C564" i="6"/>
  <c r="B564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W561" i="6"/>
  <c r="V561" i="6"/>
  <c r="U561" i="6"/>
  <c r="S561" i="6"/>
  <c r="N561" i="6"/>
  <c r="L561" i="6"/>
  <c r="J561" i="6"/>
  <c r="H561" i="6"/>
  <c r="E561" i="6"/>
  <c r="D561" i="6"/>
  <c r="C561" i="6"/>
  <c r="B561" i="6"/>
  <c r="W560" i="6"/>
  <c r="V560" i="6"/>
  <c r="U560" i="6"/>
  <c r="S560" i="6"/>
  <c r="N560" i="6"/>
  <c r="L560" i="6"/>
  <c r="J560" i="6"/>
  <c r="H560" i="6"/>
  <c r="E560" i="6"/>
  <c r="D560" i="6"/>
  <c r="C560" i="6"/>
  <c r="B560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8" i="6"/>
  <c r="V558" i="6"/>
  <c r="U558" i="6"/>
  <c r="S558" i="6"/>
  <c r="N558" i="6"/>
  <c r="L558" i="6"/>
  <c r="J558" i="6"/>
  <c r="H558" i="6"/>
  <c r="E558" i="6"/>
  <c r="D558" i="6"/>
  <c r="C558" i="6"/>
  <c r="B558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6" i="6"/>
  <c r="V556" i="6"/>
  <c r="U556" i="6"/>
  <c r="S556" i="6"/>
  <c r="N556" i="6"/>
  <c r="L556" i="6"/>
  <c r="J556" i="6"/>
  <c r="H556" i="6"/>
  <c r="E556" i="6"/>
  <c r="D556" i="6"/>
  <c r="C556" i="6"/>
  <c r="B556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30" i="6"/>
  <c r="V530" i="6"/>
  <c r="U530" i="6"/>
  <c r="S530" i="6"/>
  <c r="N530" i="6"/>
  <c r="L530" i="6"/>
  <c r="J530" i="6"/>
  <c r="H530" i="6"/>
  <c r="E530" i="6"/>
  <c r="D530" i="6"/>
  <c r="C530" i="6"/>
  <c r="B530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5" i="41"/>
  <c r="AB544" i="41"/>
  <c r="AB543" i="41"/>
  <c r="AB538" i="41"/>
  <c r="AB537" i="41"/>
  <c r="AB540" i="41"/>
  <c r="AB539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W495" i="6"/>
  <c r="V495" i="6"/>
  <c r="U495" i="6"/>
  <c r="S495" i="6"/>
  <c r="N495" i="6"/>
  <c r="L495" i="6"/>
  <c r="J495" i="6"/>
  <c r="H495" i="6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W486" i="6"/>
  <c r="V486" i="6"/>
  <c r="U486" i="6"/>
  <c r="S486" i="6"/>
  <c r="N486" i="6"/>
  <c r="L486" i="6"/>
  <c r="J486" i="6"/>
  <c r="H486" i="6"/>
  <c r="E486" i="6"/>
  <c r="D486" i="6"/>
  <c r="C486" i="6"/>
  <c r="B486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AB492" i="41"/>
  <c r="AB491" i="41"/>
  <c r="AB490" i="41"/>
  <c r="AB489" i="41"/>
  <c r="AB488" i="41"/>
  <c r="AB484" i="41"/>
  <c r="AB483" i="41"/>
  <c r="AB482" i="41"/>
  <c r="AB486" i="41"/>
  <c r="AB485" i="41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4" i="6"/>
  <c r="V464" i="6"/>
  <c r="U464" i="6"/>
  <c r="S464" i="6"/>
  <c r="N464" i="6"/>
  <c r="L464" i="6"/>
  <c r="J464" i="6"/>
  <c r="H464" i="6"/>
  <c r="E464" i="6"/>
  <c r="D464" i="6"/>
  <c r="C464" i="6"/>
  <c r="B464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AB458" i="41"/>
  <c r="AB457" i="41"/>
  <c r="AB438" i="41"/>
  <c r="AB437" i="41"/>
  <c r="AB436" i="41"/>
  <c r="AB435" i="41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AB416" i="41"/>
  <c r="AB415" i="41"/>
  <c r="AB414" i="41"/>
  <c r="W409" i="6"/>
  <c r="V409" i="6"/>
  <c r="U409" i="6"/>
  <c r="S409" i="6"/>
  <c r="N409" i="6"/>
  <c r="L409" i="6"/>
  <c r="J409" i="6"/>
  <c r="H409" i="6"/>
  <c r="E409" i="6"/>
  <c r="D409" i="6"/>
  <c r="C409" i="6"/>
  <c r="B409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2" i="6"/>
  <c r="V402" i="6"/>
  <c r="U402" i="6"/>
  <c r="S402" i="6"/>
  <c r="N402" i="6"/>
  <c r="L402" i="6"/>
  <c r="J402" i="6"/>
  <c r="H402" i="6"/>
  <c r="E402" i="6"/>
  <c r="D402" i="6"/>
  <c r="C402" i="6"/>
  <c r="B402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7" i="6"/>
  <c r="V397" i="6"/>
  <c r="U397" i="6"/>
  <c r="S397" i="6"/>
  <c r="N397" i="6"/>
  <c r="L397" i="6"/>
  <c r="J397" i="6"/>
  <c r="H397" i="6"/>
  <c r="E397" i="6"/>
  <c r="D397" i="6"/>
  <c r="C397" i="6"/>
  <c r="B397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90" i="6"/>
  <c r="V390" i="6"/>
  <c r="U390" i="6"/>
  <c r="S390" i="6"/>
  <c r="N390" i="6"/>
  <c r="L390" i="6"/>
  <c r="J390" i="6"/>
  <c r="H390" i="6"/>
  <c r="E390" i="6"/>
  <c r="D390" i="6"/>
  <c r="C390" i="6"/>
  <c r="B39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AB393" i="41"/>
  <c r="AB392" i="41"/>
  <c r="AB385" i="41"/>
  <c r="AB386" i="41"/>
  <c r="W374" i="6"/>
  <c r="V374" i="6"/>
  <c r="U374" i="6"/>
  <c r="S374" i="6"/>
  <c r="N374" i="6"/>
  <c r="L374" i="6"/>
  <c r="J374" i="6"/>
  <c r="H374" i="6"/>
  <c r="E374" i="6"/>
  <c r="D374" i="6"/>
  <c r="C374" i="6"/>
  <c r="B374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70" i="6"/>
  <c r="V370" i="6"/>
  <c r="U370" i="6"/>
  <c r="S370" i="6"/>
  <c r="N370" i="6"/>
  <c r="L370" i="6"/>
  <c r="J370" i="6"/>
  <c r="H370" i="6"/>
  <c r="E370" i="6"/>
  <c r="D370" i="6"/>
  <c r="C370" i="6"/>
  <c r="B370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V360" i="6"/>
  <c r="U360" i="6"/>
  <c r="S360" i="6"/>
  <c r="N360" i="6"/>
  <c r="L360" i="6"/>
  <c r="J360" i="6"/>
  <c r="H360" i="6"/>
  <c r="E360" i="6"/>
  <c r="D360" i="6"/>
  <c r="C360" i="6"/>
  <c r="B360" i="6"/>
  <c r="V359" i="6"/>
  <c r="U359" i="6"/>
  <c r="S359" i="6"/>
  <c r="N359" i="6"/>
  <c r="L359" i="6"/>
  <c r="J359" i="6"/>
  <c r="H359" i="6"/>
  <c r="E359" i="6"/>
  <c r="D359" i="6"/>
  <c r="C359" i="6"/>
  <c r="B359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357" i="6"/>
  <c r="V357" i="6"/>
  <c r="U357" i="6"/>
  <c r="S357" i="6"/>
  <c r="N357" i="6"/>
  <c r="L357" i="6"/>
  <c r="J357" i="6"/>
  <c r="H357" i="6"/>
  <c r="E357" i="6"/>
  <c r="D357" i="6"/>
  <c r="C357" i="6"/>
  <c r="B357" i="6"/>
  <c r="AB355" i="41"/>
  <c r="AB354" i="41"/>
  <c r="AB353" i="41"/>
  <c r="AB352" i="41"/>
  <c r="W336" i="6"/>
  <c r="V336" i="6"/>
  <c r="U336" i="6"/>
  <c r="S336" i="6"/>
  <c r="N336" i="6"/>
  <c r="L336" i="6"/>
  <c r="J336" i="6"/>
  <c r="H336" i="6"/>
  <c r="E336" i="6"/>
  <c r="D336" i="6"/>
  <c r="C336" i="6"/>
  <c r="B336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W329" i="6"/>
  <c r="V329" i="6"/>
  <c r="U329" i="6"/>
  <c r="S329" i="6"/>
  <c r="N329" i="6"/>
  <c r="L329" i="6"/>
  <c r="J329" i="6"/>
  <c r="H329" i="6"/>
  <c r="E329" i="6"/>
  <c r="D329" i="6"/>
  <c r="C329" i="6"/>
  <c r="B329" i="6"/>
  <c r="W328" i="6"/>
  <c r="V328" i="6"/>
  <c r="U328" i="6"/>
  <c r="S328" i="6"/>
  <c r="N328" i="6"/>
  <c r="L328" i="6"/>
  <c r="J328" i="6"/>
  <c r="H328" i="6"/>
  <c r="E328" i="6"/>
  <c r="D328" i="6"/>
  <c r="C328" i="6"/>
  <c r="B328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AB316" i="41"/>
  <c r="AB315" i="41"/>
  <c r="AB311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1" i="6"/>
  <c r="V301" i="6"/>
  <c r="U301" i="6"/>
  <c r="S301" i="6"/>
  <c r="N301" i="6"/>
  <c r="L301" i="6"/>
  <c r="J301" i="6"/>
  <c r="H301" i="6"/>
  <c r="E301" i="6"/>
  <c r="D301" i="6"/>
  <c r="C301" i="6"/>
  <c r="B301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V296" i="6"/>
  <c r="U296" i="6"/>
  <c r="S296" i="6"/>
  <c r="N296" i="6"/>
  <c r="L296" i="6"/>
  <c r="J296" i="6"/>
  <c r="E296" i="6"/>
  <c r="D296" i="6"/>
  <c r="C296" i="6"/>
  <c r="B296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AB305" i="41"/>
  <c r="AB287" i="41"/>
  <c r="AB286" i="41"/>
  <c r="AB285" i="41"/>
  <c r="AB284" i="41"/>
  <c r="AB283" i="41"/>
  <c r="AB279" i="41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70" i="6"/>
  <c r="V270" i="6"/>
  <c r="U270" i="6"/>
  <c r="S270" i="6"/>
  <c r="N270" i="6"/>
  <c r="L270" i="6"/>
  <c r="J270" i="6"/>
  <c r="H270" i="6"/>
  <c r="E270" i="6"/>
  <c r="D270" i="6"/>
  <c r="C270" i="6"/>
  <c r="B270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AB262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V239" i="6"/>
  <c r="U239" i="6"/>
  <c r="S239" i="6"/>
  <c r="N239" i="6"/>
  <c r="L239" i="6"/>
  <c r="J239" i="6"/>
  <c r="H239" i="6"/>
  <c r="E239" i="6"/>
  <c r="D239" i="6"/>
  <c r="C239" i="6"/>
  <c r="B239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AB241" i="41"/>
  <c r="AB240" i="41"/>
  <c r="AB239" i="41"/>
  <c r="AB238" i="41"/>
  <c r="AB236" i="41"/>
  <c r="AB235" i="41"/>
  <c r="AB234" i="41"/>
  <c r="AB231" i="41"/>
  <c r="AB232" i="41"/>
  <c r="W228" i="6"/>
  <c r="V228" i="6"/>
  <c r="U228" i="6"/>
  <c r="S228" i="6"/>
  <c r="N228" i="6"/>
  <c r="L228" i="6"/>
  <c r="J228" i="6"/>
  <c r="H228" i="6"/>
  <c r="E228" i="6"/>
  <c r="D228" i="6"/>
  <c r="C228" i="6"/>
  <c r="B228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4" i="6"/>
  <c r="V224" i="6"/>
  <c r="U224" i="6"/>
  <c r="S224" i="6"/>
  <c r="N224" i="6"/>
  <c r="L224" i="6"/>
  <c r="J224" i="6"/>
  <c r="H224" i="6"/>
  <c r="E224" i="6"/>
  <c r="D224" i="6"/>
  <c r="C224" i="6"/>
  <c r="B224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V222" i="6"/>
  <c r="W222" i="6" s="1"/>
  <c r="U222" i="6"/>
  <c r="S222" i="6"/>
  <c r="N222" i="6"/>
  <c r="L222" i="6"/>
  <c r="J222" i="6"/>
  <c r="H222" i="6"/>
  <c r="E222" i="6"/>
  <c r="D222" i="6"/>
  <c r="C222" i="6"/>
  <c r="B222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V199" i="6"/>
  <c r="U199" i="6"/>
  <c r="S199" i="6"/>
  <c r="N199" i="6"/>
  <c r="L199" i="6"/>
  <c r="J199" i="6"/>
  <c r="H199" i="6"/>
  <c r="E199" i="6"/>
  <c r="D199" i="6"/>
  <c r="C199" i="6"/>
  <c r="B199" i="6"/>
  <c r="AB211" i="41"/>
  <c r="AB210" i="41"/>
  <c r="AB209" i="41"/>
  <c r="AB214" i="41"/>
  <c r="AB213" i="41"/>
  <c r="AB212" i="41"/>
  <c r="AB200" i="41"/>
  <c r="AB199" i="41"/>
  <c r="AB198" i="41"/>
  <c r="AB197" i="41"/>
  <c r="AB196" i="41"/>
  <c r="AB193" i="41"/>
  <c r="AB194" i="41"/>
  <c r="V193" i="6"/>
  <c r="U193" i="6"/>
  <c r="S193" i="6"/>
  <c r="N193" i="6"/>
  <c r="L193" i="6"/>
  <c r="J193" i="6"/>
  <c r="H193" i="6"/>
  <c r="E193" i="6"/>
  <c r="D193" i="6"/>
  <c r="C193" i="6"/>
  <c r="B193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V185" i="6"/>
  <c r="U185" i="6"/>
  <c r="S185" i="6"/>
  <c r="N185" i="6"/>
  <c r="L185" i="6"/>
  <c r="J185" i="6"/>
  <c r="H185" i="6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5" i="6"/>
  <c r="V175" i="6"/>
  <c r="U175" i="6"/>
  <c r="S175" i="6"/>
  <c r="N175" i="6"/>
  <c r="L175" i="6"/>
  <c r="J175" i="6"/>
  <c r="H175" i="6"/>
  <c r="E175" i="6"/>
  <c r="D175" i="6"/>
  <c r="C175" i="6"/>
  <c r="B175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173" i="6"/>
  <c r="V173" i="6"/>
  <c r="U173" i="6"/>
  <c r="S173" i="6"/>
  <c r="N173" i="6"/>
  <c r="L173" i="6"/>
  <c r="J173" i="6"/>
  <c r="H173" i="6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AB167" i="41"/>
  <c r="AB168" i="41"/>
  <c r="AB169" i="41"/>
  <c r="AB159" i="41"/>
  <c r="AB160" i="41"/>
  <c r="AB161" i="41"/>
  <c r="W161" i="6"/>
  <c r="V161" i="6"/>
  <c r="U161" i="6"/>
  <c r="S161" i="6"/>
  <c r="N161" i="6"/>
  <c r="L161" i="6"/>
  <c r="J161" i="6"/>
  <c r="H161" i="6"/>
  <c r="E161" i="6"/>
  <c r="D161" i="6"/>
  <c r="C161" i="6"/>
  <c r="B161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V158" i="6"/>
  <c r="U158" i="6"/>
  <c r="S158" i="6"/>
  <c r="N158" i="6"/>
  <c r="L158" i="6"/>
  <c r="J158" i="6"/>
  <c r="H158" i="6"/>
  <c r="E158" i="6"/>
  <c r="D158" i="6"/>
  <c r="C158" i="6"/>
  <c r="B158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AB133" i="41"/>
  <c r="AB132" i="41"/>
  <c r="AB131" i="41"/>
  <c r="W199" i="6" l="1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V135" i="6"/>
  <c r="U135" i="6"/>
  <c r="S135" i="6"/>
  <c r="N135" i="6"/>
  <c r="L135" i="6"/>
  <c r="J135" i="6"/>
  <c r="H135" i="6"/>
  <c r="W135" i="6" s="1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3" i="6"/>
  <c r="V133" i="6"/>
  <c r="U133" i="6"/>
  <c r="S133" i="6"/>
  <c r="N133" i="6"/>
  <c r="L133" i="6"/>
  <c r="J133" i="6"/>
  <c r="H133" i="6"/>
  <c r="E133" i="6"/>
  <c r="D133" i="6"/>
  <c r="C133" i="6"/>
  <c r="B133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V117" i="6"/>
  <c r="U117" i="6"/>
  <c r="S117" i="6"/>
  <c r="N117" i="6"/>
  <c r="L117" i="6"/>
  <c r="J117" i="6"/>
  <c r="H117" i="6"/>
  <c r="W117" i="6" s="1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8" i="6"/>
  <c r="V108" i="6"/>
  <c r="U108" i="6"/>
  <c r="S108" i="6"/>
  <c r="N108" i="6"/>
  <c r="L108" i="6"/>
  <c r="J108" i="6"/>
  <c r="H108" i="6"/>
  <c r="E108" i="6"/>
  <c r="D108" i="6"/>
  <c r="C108" i="6"/>
  <c r="B108" i="6"/>
  <c r="AB123" i="41"/>
  <c r="AB122" i="41"/>
  <c r="AB121" i="41"/>
  <c r="AB120" i="41"/>
  <c r="AB114" i="41"/>
  <c r="AB113" i="41"/>
  <c r="AB112" i="41"/>
  <c r="AB111" i="41"/>
  <c r="AB110" i="41"/>
  <c r="AB109" i="41"/>
  <c r="AB108" i="41"/>
  <c r="AB103" i="41"/>
  <c r="AB102" i="41"/>
  <c r="AB101" i="41"/>
  <c r="AB99" i="41"/>
  <c r="AB98" i="41"/>
  <c r="AB95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99" i="6"/>
  <c r="V99" i="6"/>
  <c r="U99" i="6"/>
  <c r="S99" i="6"/>
  <c r="N99" i="6"/>
  <c r="L99" i="6"/>
  <c r="J99" i="6"/>
  <c r="H99" i="6"/>
  <c r="E99" i="6"/>
  <c r="D99" i="6"/>
  <c r="C99" i="6"/>
  <c r="B99" i="6"/>
  <c r="W98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W96" i="6"/>
  <c r="V96" i="6"/>
  <c r="U96" i="6"/>
  <c r="S96" i="6"/>
  <c r="N96" i="6"/>
  <c r="L96" i="6"/>
  <c r="J96" i="6"/>
  <c r="H96" i="6"/>
  <c r="E96" i="6"/>
  <c r="D96" i="6"/>
  <c r="C96" i="6"/>
  <c r="B96" i="6"/>
  <c r="W95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8" i="6"/>
  <c r="V88" i="6"/>
  <c r="U88" i="6"/>
  <c r="S88" i="6"/>
  <c r="N88" i="6"/>
  <c r="L88" i="6"/>
  <c r="J88" i="6"/>
  <c r="H88" i="6"/>
  <c r="E88" i="6"/>
  <c r="D88" i="6"/>
  <c r="C88" i="6"/>
  <c r="B88" i="6"/>
  <c r="W86" i="6"/>
  <c r="V86" i="6"/>
  <c r="U86" i="6"/>
  <c r="S86" i="6"/>
  <c r="N86" i="6"/>
  <c r="L86" i="6"/>
  <c r="J86" i="6"/>
  <c r="H86" i="6"/>
  <c r="E86" i="6"/>
  <c r="D86" i="6"/>
  <c r="C86" i="6"/>
  <c r="B86" i="6"/>
  <c r="W85" i="6"/>
  <c r="V85" i="6"/>
  <c r="U85" i="6"/>
  <c r="S85" i="6"/>
  <c r="N85" i="6"/>
  <c r="L85" i="6"/>
  <c r="J85" i="6"/>
  <c r="H85" i="6"/>
  <c r="E85" i="6"/>
  <c r="D85" i="6"/>
  <c r="C85" i="6"/>
  <c r="B85" i="6"/>
  <c r="W84" i="6"/>
  <c r="V84" i="6"/>
  <c r="U84" i="6"/>
  <c r="S84" i="6"/>
  <c r="N84" i="6"/>
  <c r="L84" i="6"/>
  <c r="J84" i="6"/>
  <c r="H84" i="6"/>
  <c r="E84" i="6"/>
  <c r="D84" i="6"/>
  <c r="C84" i="6"/>
  <c r="B84" i="6"/>
  <c r="V83" i="6"/>
  <c r="U83" i="6"/>
  <c r="S83" i="6"/>
  <c r="N83" i="6"/>
  <c r="L83" i="6"/>
  <c r="J83" i="6"/>
  <c r="H83" i="6"/>
  <c r="E83" i="6"/>
  <c r="D83" i="6"/>
  <c r="C83" i="6"/>
  <c r="B83" i="6"/>
  <c r="AB81" i="41"/>
  <c r="AB80" i="41"/>
  <c r="AB79" i="41"/>
  <c r="AB78" i="41"/>
  <c r="AB77" i="41"/>
  <c r="AB90" i="41"/>
  <c r="AB89" i="41"/>
  <c r="AB88" i="41"/>
  <c r="AB91" i="41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W42" i="6"/>
  <c r="V42" i="6"/>
  <c r="U42" i="6"/>
  <c r="S42" i="6"/>
  <c r="N42" i="6"/>
  <c r="L42" i="6"/>
  <c r="J42" i="6"/>
  <c r="H42" i="6"/>
  <c r="E42" i="6"/>
  <c r="D42" i="6"/>
  <c r="C42" i="6"/>
  <c r="B42" i="6"/>
  <c r="W41" i="6"/>
  <c r="V41" i="6"/>
  <c r="U41" i="6"/>
  <c r="S41" i="6"/>
  <c r="N41" i="6"/>
  <c r="L41" i="6"/>
  <c r="J41" i="6"/>
  <c r="H41" i="6"/>
  <c r="E41" i="6"/>
  <c r="D41" i="6"/>
  <c r="C41" i="6"/>
  <c r="B41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V38" i="6"/>
  <c r="U38" i="6"/>
  <c r="S38" i="6"/>
  <c r="N38" i="6"/>
  <c r="L38" i="6"/>
  <c r="J38" i="6"/>
  <c r="H38" i="6"/>
  <c r="E38" i="6"/>
  <c r="D38" i="6"/>
  <c r="C38" i="6"/>
  <c r="B38" i="6"/>
  <c r="V35" i="6"/>
  <c r="U35" i="6"/>
  <c r="S35" i="6"/>
  <c r="N35" i="6"/>
  <c r="L35" i="6"/>
  <c r="J35" i="6"/>
  <c r="H35" i="6"/>
  <c r="E35" i="6"/>
  <c r="D35" i="6"/>
  <c r="C35" i="6"/>
  <c r="B35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W32" i="6"/>
  <c r="V32" i="6"/>
  <c r="U32" i="6"/>
  <c r="S32" i="6"/>
  <c r="N32" i="6"/>
  <c r="L32" i="6"/>
  <c r="J32" i="6"/>
  <c r="H32" i="6"/>
  <c r="E32" i="6"/>
  <c r="D32" i="6"/>
  <c r="C32" i="6"/>
  <c r="B32" i="6"/>
  <c r="W31" i="6"/>
  <c r="V31" i="6"/>
  <c r="U31" i="6"/>
  <c r="S31" i="6"/>
  <c r="N31" i="6"/>
  <c r="L31" i="6"/>
  <c r="J31" i="6"/>
  <c r="H31" i="6"/>
  <c r="E31" i="6"/>
  <c r="D31" i="6"/>
  <c r="C31" i="6"/>
  <c r="B31" i="6"/>
  <c r="B36" i="6"/>
  <c r="C36" i="6"/>
  <c r="D36" i="6"/>
  <c r="E36" i="6"/>
  <c r="H36" i="6"/>
  <c r="J36" i="6"/>
  <c r="L36" i="6"/>
  <c r="N36" i="6"/>
  <c r="S36" i="6"/>
  <c r="U36" i="6"/>
  <c r="V36" i="6"/>
  <c r="W36" i="6"/>
  <c r="B30" i="6"/>
  <c r="C30" i="6"/>
  <c r="D30" i="6"/>
  <c r="E30" i="6"/>
  <c r="H30" i="6"/>
  <c r="J30" i="6"/>
  <c r="L30" i="6"/>
  <c r="N30" i="6"/>
  <c r="S30" i="6"/>
  <c r="U30" i="6"/>
  <c r="V30" i="6"/>
  <c r="AB27" i="41"/>
  <c r="AB26" i="41"/>
  <c r="AB25" i="41"/>
  <c r="AB20" i="41"/>
  <c r="AB19" i="41"/>
  <c r="AB18" i="41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AB380" i="41" l="1"/>
  <c r="W554" i="6"/>
  <c r="V554" i="6"/>
  <c r="U554" i="6"/>
  <c r="S554" i="6"/>
  <c r="N554" i="6"/>
  <c r="L554" i="6"/>
  <c r="J554" i="6"/>
  <c r="H554" i="6"/>
  <c r="E554" i="6"/>
  <c r="D554" i="6"/>
  <c r="C554" i="6"/>
  <c r="B554" i="6"/>
  <c r="AB517" i="41"/>
  <c r="AB516" i="41"/>
  <c r="AB542" i="41"/>
  <c r="AB453" i="41"/>
  <c r="AB323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07" i="41"/>
  <c r="AB474" i="41"/>
  <c r="AB230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AB348" i="41"/>
  <c r="AB273" i="41"/>
  <c r="AB523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72" i="6"/>
  <c r="V72" i="6"/>
  <c r="U72" i="6"/>
  <c r="S72" i="6"/>
  <c r="N72" i="6"/>
  <c r="L72" i="6"/>
  <c r="J72" i="6"/>
  <c r="H72" i="6"/>
  <c r="E72" i="6"/>
  <c r="D72" i="6"/>
  <c r="C72" i="6"/>
  <c r="B72" i="6"/>
  <c r="AB156" i="41"/>
  <c r="AB59" i="41"/>
  <c r="AB106" i="41" l="1"/>
  <c r="W536" i="6"/>
  <c r="V536" i="6"/>
  <c r="U536" i="6"/>
  <c r="S536" i="6"/>
  <c r="N536" i="6"/>
  <c r="L536" i="6"/>
  <c r="J536" i="6"/>
  <c r="H536" i="6"/>
  <c r="E536" i="6"/>
  <c r="D536" i="6"/>
  <c r="C536" i="6"/>
  <c r="B536" i="6"/>
  <c r="AB524" i="41"/>
  <c r="W562" i="6"/>
  <c r="V562" i="6"/>
  <c r="U562" i="6"/>
  <c r="S562" i="6"/>
  <c r="N562" i="6"/>
  <c r="L562" i="6"/>
  <c r="J562" i="6"/>
  <c r="H562" i="6"/>
  <c r="E562" i="6"/>
  <c r="D562" i="6"/>
  <c r="C562" i="6"/>
  <c r="B562" i="6"/>
  <c r="AB550" i="41"/>
  <c r="AB442" i="41"/>
  <c r="AB260" i="41"/>
  <c r="W57" i="6"/>
  <c r="V57" i="6"/>
  <c r="U57" i="6"/>
  <c r="S57" i="6"/>
  <c r="N57" i="6"/>
  <c r="L57" i="6"/>
  <c r="J57" i="6"/>
  <c r="H57" i="6"/>
  <c r="E57" i="6"/>
  <c r="D57" i="6"/>
  <c r="C57" i="6"/>
  <c r="B57" i="6"/>
  <c r="AB173" i="41"/>
  <c r="AB44" i="41"/>
  <c r="W537" i="6" l="1"/>
  <c r="V537" i="6"/>
  <c r="U537" i="6"/>
  <c r="S537" i="6"/>
  <c r="N537" i="6"/>
  <c r="L537" i="6"/>
  <c r="J537" i="6"/>
  <c r="H537" i="6"/>
  <c r="E537" i="6"/>
  <c r="D537" i="6"/>
  <c r="C537" i="6"/>
  <c r="B537" i="6"/>
  <c r="AB525" i="41"/>
  <c r="AB505" i="41"/>
  <c r="W466" i="6"/>
  <c r="V466" i="6"/>
  <c r="U466" i="6"/>
  <c r="S466" i="6"/>
  <c r="N466" i="6"/>
  <c r="L466" i="6"/>
  <c r="J466" i="6"/>
  <c r="H466" i="6"/>
  <c r="E466" i="6"/>
  <c r="D466" i="6"/>
  <c r="C466" i="6"/>
  <c r="B466" i="6"/>
  <c r="AB454" i="41"/>
  <c r="AB451" i="41"/>
  <c r="AB419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AB365" i="41"/>
  <c r="W80" i="6"/>
  <c r="V80" i="6"/>
  <c r="U80" i="6"/>
  <c r="S80" i="6"/>
  <c r="N80" i="6"/>
  <c r="L80" i="6"/>
  <c r="J80" i="6"/>
  <c r="H80" i="6"/>
  <c r="E80" i="6"/>
  <c r="D80" i="6"/>
  <c r="C80" i="6"/>
  <c r="B80" i="6"/>
  <c r="AB67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18" i="41"/>
  <c r="W476" i="6"/>
  <c r="V476" i="6"/>
  <c r="U476" i="6"/>
  <c r="S476" i="6"/>
  <c r="N476" i="6"/>
  <c r="L476" i="6"/>
  <c r="J476" i="6"/>
  <c r="H476" i="6"/>
  <c r="E476" i="6"/>
  <c r="D476" i="6"/>
  <c r="C476" i="6"/>
  <c r="B476" i="6"/>
  <c r="AB464" i="41"/>
  <c r="AB459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W283" i="6"/>
  <c r="V283" i="6"/>
  <c r="U283" i="6"/>
  <c r="S283" i="6"/>
  <c r="N283" i="6"/>
  <c r="L283" i="6"/>
  <c r="J283" i="6"/>
  <c r="H283" i="6"/>
  <c r="E283" i="6"/>
  <c r="D283" i="6"/>
  <c r="C283" i="6"/>
  <c r="B283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AB270" i="41"/>
  <c r="AB338" i="41"/>
  <c r="W47" i="6"/>
  <c r="V47" i="6"/>
  <c r="U47" i="6"/>
  <c r="S47" i="6"/>
  <c r="N47" i="6"/>
  <c r="L47" i="6"/>
  <c r="J47" i="6"/>
  <c r="H47" i="6"/>
  <c r="E47" i="6"/>
  <c r="D47" i="6"/>
  <c r="C47" i="6"/>
  <c r="B47" i="6"/>
  <c r="AB34" i="41"/>
  <c r="W541" i="6"/>
  <c r="V541" i="6"/>
  <c r="U541" i="6"/>
  <c r="S541" i="6"/>
  <c r="N541" i="6"/>
  <c r="L541" i="6"/>
  <c r="J541" i="6"/>
  <c r="H541" i="6"/>
  <c r="E541" i="6"/>
  <c r="D541" i="6"/>
  <c r="C541" i="6"/>
  <c r="B541" i="6"/>
  <c r="AB529" i="41"/>
  <c r="W197" i="6"/>
  <c r="V197" i="6"/>
  <c r="U197" i="6"/>
  <c r="S197" i="6"/>
  <c r="N197" i="6"/>
  <c r="L197" i="6"/>
  <c r="J197" i="6"/>
  <c r="H197" i="6"/>
  <c r="E197" i="6"/>
  <c r="D197" i="6"/>
  <c r="C197" i="6"/>
  <c r="B197" i="6"/>
  <c r="AB184" i="41"/>
  <c r="AB307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504" i="41"/>
  <c r="AB472" i="41"/>
  <c r="W534" i="6"/>
  <c r="V534" i="6"/>
  <c r="U534" i="6"/>
  <c r="S534" i="6"/>
  <c r="N534" i="6"/>
  <c r="L534" i="6"/>
  <c r="J534" i="6"/>
  <c r="H534" i="6"/>
  <c r="E534" i="6"/>
  <c r="D534" i="6"/>
  <c r="C534" i="6"/>
  <c r="B534" i="6"/>
  <c r="AB522" i="41"/>
  <c r="AB503" i="41"/>
  <c r="AB532" i="41"/>
  <c r="AB418" i="41"/>
  <c r="AB400" i="41"/>
  <c r="W314" i="6"/>
  <c r="V314" i="6"/>
  <c r="U314" i="6"/>
  <c r="S314" i="6"/>
  <c r="N314" i="6"/>
  <c r="L314" i="6"/>
  <c r="J314" i="6"/>
  <c r="H314" i="6"/>
  <c r="E314" i="6"/>
  <c r="D314" i="6"/>
  <c r="C314" i="6"/>
  <c r="B31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AB294" i="41"/>
  <c r="AB298" i="41"/>
  <c r="AB446" i="41" l="1"/>
  <c r="AB425" i="41" l="1"/>
  <c r="AB412" i="41" l="1"/>
  <c r="V74" i="6" l="1"/>
  <c r="U74" i="6"/>
  <c r="S74" i="6"/>
  <c r="N74" i="6"/>
  <c r="L74" i="6"/>
  <c r="J74" i="6"/>
  <c r="H74" i="6"/>
  <c r="E74" i="6"/>
  <c r="D74" i="6"/>
  <c r="C74" i="6"/>
  <c r="B74" i="6"/>
  <c r="AB61" i="41"/>
  <c r="AB547" i="41"/>
  <c r="AB346" i="41"/>
  <c r="W131" i="6" l="1"/>
  <c r="V131" i="6"/>
  <c r="U131" i="6"/>
  <c r="S131" i="6"/>
  <c r="N131" i="6"/>
  <c r="L131" i="6"/>
  <c r="J131" i="6"/>
  <c r="H131" i="6"/>
  <c r="E131" i="6"/>
  <c r="D131" i="6"/>
  <c r="C131" i="6"/>
  <c r="B131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87" i="41"/>
  <c r="AB384" i="41"/>
  <c r="AB383" i="41"/>
  <c r="AB382" i="41"/>
  <c r="AB379" i="41"/>
  <c r="AB378" i="41"/>
  <c r="AB377" i="41"/>
  <c r="AB376" i="41"/>
  <c r="AB375" i="41"/>
  <c r="AB374" i="41"/>
  <c r="AB513" i="41"/>
  <c r="AB512" i="41"/>
  <c r="AB511" i="41"/>
  <c r="AB510" i="41"/>
  <c r="AB509" i="41"/>
  <c r="AB506" i="41"/>
  <c r="AB501" i="41"/>
  <c r="AB497" i="41"/>
  <c r="AB553" i="41"/>
  <c r="AB552" i="41"/>
  <c r="AB551" i="41"/>
  <c r="AB549" i="41"/>
  <c r="AB548" i="41"/>
  <c r="AB546" i="41"/>
  <c r="AB535" i="41"/>
  <c r="AB534" i="41"/>
  <c r="AB533" i="41"/>
  <c r="AB471" i="41"/>
  <c r="AB470" i="41"/>
  <c r="AB469" i="41"/>
  <c r="AB468" i="41"/>
  <c r="AB467" i="41"/>
  <c r="AB448" i="41"/>
  <c r="AB447" i="41"/>
  <c r="AB445" i="41"/>
  <c r="AB444" i="41"/>
  <c r="AB441" i="41"/>
  <c r="AB440" i="41"/>
  <c r="AB439" i="41"/>
  <c r="AB434" i="41"/>
  <c r="AB433" i="41"/>
  <c r="AB432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AB422" i="41"/>
  <c r="AB423" i="41"/>
  <c r="AB426" i="41"/>
  <c r="AB413" i="41"/>
  <c r="AB406" i="41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36" i="6"/>
  <c r="V236" i="6"/>
  <c r="U236" i="6"/>
  <c r="S236" i="6"/>
  <c r="N236" i="6"/>
  <c r="L236" i="6"/>
  <c r="J236" i="6"/>
  <c r="H236" i="6"/>
  <c r="E236" i="6"/>
  <c r="D236" i="6"/>
  <c r="C236" i="6"/>
  <c r="B236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AB249" i="41"/>
  <c r="AB248" i="41"/>
  <c r="AB244" i="41"/>
  <c r="AB243" i="41"/>
  <c r="AB242" i="41"/>
  <c r="AB233" i="41"/>
  <c r="AB222" i="41"/>
  <c r="W231" i="6"/>
  <c r="V231" i="6"/>
  <c r="U231" i="6"/>
  <c r="S231" i="6"/>
  <c r="N231" i="6"/>
  <c r="L231" i="6"/>
  <c r="J231" i="6"/>
  <c r="H231" i="6"/>
  <c r="E231" i="6"/>
  <c r="D231" i="6"/>
  <c r="C231" i="6"/>
  <c r="B231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AB217" i="41"/>
  <c r="AB216" i="41"/>
  <c r="AB215" i="41"/>
  <c r="AB204" i="41"/>
  <c r="AB203" i="41"/>
  <c r="AB202" i="41"/>
  <c r="AB201" i="41"/>
  <c r="AB192" i="41"/>
  <c r="AB190" i="41"/>
  <c r="AB189" i="41"/>
  <c r="AB188" i="41"/>
  <c r="AB187" i="41"/>
  <c r="AB186" i="41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4" i="41"/>
  <c r="AB306" i="41"/>
  <c r="AB308" i="41"/>
  <c r="AB299" i="41"/>
  <c r="AB297" i="41"/>
  <c r="AB296" i="41"/>
  <c r="AB295" i="41"/>
  <c r="AB292" i="41"/>
  <c r="AB291" i="41"/>
  <c r="AB290" i="41"/>
  <c r="AB289" i="41"/>
  <c r="AB288" i="41"/>
  <c r="AB358" i="41"/>
  <c r="AB357" i="41"/>
  <c r="AB356" i="41"/>
  <c r="W288" i="6"/>
  <c r="V288" i="6"/>
  <c r="U288" i="6"/>
  <c r="S288" i="6"/>
  <c r="N288" i="6"/>
  <c r="L288" i="6"/>
  <c r="J288" i="6"/>
  <c r="H288" i="6"/>
  <c r="E288" i="6"/>
  <c r="D288" i="6"/>
  <c r="C288" i="6"/>
  <c r="B288" i="6"/>
  <c r="W287" i="6"/>
  <c r="V287" i="6"/>
  <c r="U287" i="6"/>
  <c r="S287" i="6"/>
  <c r="N287" i="6"/>
  <c r="L287" i="6"/>
  <c r="J287" i="6"/>
  <c r="H287" i="6"/>
  <c r="E287" i="6"/>
  <c r="D287" i="6"/>
  <c r="C287" i="6"/>
  <c r="B287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5" i="41"/>
  <c r="AB274" i="41"/>
  <c r="AB272" i="41"/>
  <c r="W350" i="6"/>
  <c r="V350" i="6"/>
  <c r="U350" i="6"/>
  <c r="S350" i="6"/>
  <c r="N350" i="6"/>
  <c r="L350" i="6"/>
  <c r="J350" i="6"/>
  <c r="H350" i="6"/>
  <c r="E350" i="6"/>
  <c r="D350" i="6"/>
  <c r="C350" i="6"/>
  <c r="B35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AB333" i="41"/>
  <c r="AB334" i="41"/>
  <c r="AB335" i="41"/>
  <c r="AB337" i="41"/>
  <c r="AB336" i="41"/>
  <c r="AB332" i="41"/>
  <c r="AB331" i="41"/>
  <c r="AB330" i="41"/>
  <c r="AB329" i="41"/>
  <c r="AB328" i="41"/>
  <c r="AB327" i="41"/>
  <c r="AB326" i="41"/>
  <c r="AB325" i="41"/>
  <c r="AB321" i="41"/>
  <c r="AB320" i="41"/>
  <c r="AB319" i="41"/>
  <c r="AB318" i="41"/>
  <c r="AB317" i="41"/>
  <c r="W142" i="6"/>
  <c r="V142" i="6"/>
  <c r="U142" i="6"/>
  <c r="S142" i="6"/>
  <c r="N142" i="6"/>
  <c r="L142" i="6"/>
  <c r="J142" i="6"/>
  <c r="H142" i="6"/>
  <c r="E142" i="6"/>
  <c r="D142" i="6"/>
  <c r="C142" i="6"/>
  <c r="B142" i="6"/>
  <c r="AB148" i="41"/>
  <c r="AB146" i="41"/>
  <c r="AB145" i="41"/>
  <c r="AB144" i="41"/>
  <c r="AB143" i="41"/>
  <c r="AB142" i="41"/>
  <c r="AB141" i="41"/>
  <c r="AB140" i="41"/>
  <c r="AB124" i="41"/>
  <c r="AB118" i="41"/>
  <c r="AB117" i="41"/>
  <c r="AB116" i="41"/>
  <c r="AB115" i="41"/>
  <c r="AB87" i="41"/>
  <c r="W189" i="6"/>
  <c r="V189" i="6"/>
  <c r="U189" i="6"/>
  <c r="S189" i="6"/>
  <c r="N189" i="6"/>
  <c r="L189" i="6"/>
  <c r="J189" i="6"/>
  <c r="H189" i="6"/>
  <c r="E189" i="6"/>
  <c r="D189" i="6"/>
  <c r="C189" i="6"/>
  <c r="B189" i="6"/>
  <c r="AB178" i="41"/>
  <c r="AB180" i="41"/>
  <c r="AB179" i="41"/>
  <c r="AB177" i="41"/>
  <c r="AB176" i="41"/>
  <c r="AB391" i="41" l="1"/>
  <c r="W49" i="6"/>
  <c r="V49" i="6"/>
  <c r="U49" i="6"/>
  <c r="S49" i="6"/>
  <c r="N49" i="6"/>
  <c r="L49" i="6"/>
  <c r="J49" i="6"/>
  <c r="H49" i="6"/>
  <c r="E49" i="6"/>
  <c r="D49" i="6"/>
  <c r="C49" i="6"/>
  <c r="B49" i="6"/>
  <c r="AB36" i="41"/>
  <c r="AB31" i="41"/>
  <c r="AB22" i="41"/>
  <c r="AB514" i="41" l="1"/>
  <c r="AB129" i="41"/>
  <c r="AB130" i="41"/>
  <c r="AB134" i="41"/>
  <c r="AB135" i="41"/>
  <c r="B89" i="6"/>
  <c r="C89" i="6"/>
  <c r="D89" i="6"/>
  <c r="E89" i="6"/>
  <c r="H89" i="6"/>
  <c r="J89" i="6"/>
  <c r="L89" i="6"/>
  <c r="N89" i="6"/>
  <c r="S89" i="6"/>
  <c r="U89" i="6"/>
  <c r="V89" i="6"/>
  <c r="W81" i="6"/>
  <c r="V81" i="6"/>
  <c r="U81" i="6"/>
  <c r="S81" i="6"/>
  <c r="N81" i="6"/>
  <c r="L81" i="6"/>
  <c r="J81" i="6"/>
  <c r="H81" i="6"/>
  <c r="E81" i="6"/>
  <c r="D81" i="6"/>
  <c r="C81" i="6"/>
  <c r="B81" i="6"/>
  <c r="AB75" i="41"/>
  <c r="AB68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9" i="6"/>
  <c r="V279" i="6"/>
  <c r="U279" i="6"/>
  <c r="S279" i="6"/>
  <c r="N279" i="6"/>
  <c r="L279" i="6"/>
  <c r="J279" i="6"/>
  <c r="H279" i="6"/>
  <c r="E279" i="6"/>
  <c r="D279" i="6"/>
  <c r="C279" i="6"/>
  <c r="B279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475" i="6" l="1"/>
  <c r="V475" i="6"/>
  <c r="U475" i="6"/>
  <c r="S475" i="6"/>
  <c r="N475" i="6"/>
  <c r="L475" i="6"/>
  <c r="J475" i="6"/>
  <c r="H475" i="6"/>
  <c r="E475" i="6"/>
  <c r="D475" i="6"/>
  <c r="C475" i="6"/>
  <c r="B475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AB463" i="41"/>
  <c r="AB96" i="41"/>
  <c r="AB389" i="41"/>
  <c r="W540" i="6"/>
  <c r="V540" i="6"/>
  <c r="U540" i="6"/>
  <c r="S540" i="6"/>
  <c r="N540" i="6"/>
  <c r="L540" i="6"/>
  <c r="J540" i="6"/>
  <c r="H540" i="6"/>
  <c r="E540" i="6"/>
  <c r="D540" i="6"/>
  <c r="C540" i="6"/>
  <c r="B540" i="6"/>
  <c r="AB528" i="41"/>
  <c r="AB494" i="41"/>
  <c r="AB105" i="41"/>
  <c r="W221" i="6"/>
  <c r="V221" i="6"/>
  <c r="U221" i="6"/>
  <c r="S221" i="6"/>
  <c r="N221" i="6"/>
  <c r="L221" i="6"/>
  <c r="J221" i="6"/>
  <c r="H221" i="6"/>
  <c r="E221" i="6"/>
  <c r="D221" i="6"/>
  <c r="C221" i="6"/>
  <c r="B221" i="6"/>
  <c r="AB208" i="41"/>
  <c r="W56" i="6"/>
  <c r="V56" i="6"/>
  <c r="U56" i="6"/>
  <c r="S56" i="6"/>
  <c r="N56" i="6"/>
  <c r="L56" i="6"/>
  <c r="J56" i="6"/>
  <c r="H56" i="6"/>
  <c r="E56" i="6"/>
  <c r="D56" i="6"/>
  <c r="C56" i="6"/>
  <c r="B56" i="6"/>
  <c r="W58" i="6"/>
  <c r="V58" i="6"/>
  <c r="U58" i="6"/>
  <c r="S58" i="6"/>
  <c r="N58" i="6"/>
  <c r="L58" i="6"/>
  <c r="J58" i="6"/>
  <c r="H58" i="6"/>
  <c r="E58" i="6"/>
  <c r="D58" i="6"/>
  <c r="C58" i="6"/>
  <c r="B58" i="6"/>
  <c r="AB43" i="41"/>
  <c r="AB45" i="41"/>
  <c r="AB82" i="41"/>
  <c r="AB85" i="41"/>
  <c r="W260" i="6" l="1"/>
  <c r="V260" i="6"/>
  <c r="U260" i="6"/>
  <c r="S260" i="6"/>
  <c r="N260" i="6"/>
  <c r="L260" i="6"/>
  <c r="J260" i="6"/>
  <c r="H260" i="6"/>
  <c r="E260" i="6"/>
  <c r="D260" i="6"/>
  <c r="C260" i="6"/>
  <c r="B260" i="6"/>
  <c r="AB247" i="41"/>
  <c r="AB170" i="41"/>
  <c r="AB268" i="41"/>
  <c r="AB477" i="41"/>
  <c r="AB498" i="41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533" i="6"/>
  <c r="V533" i="6"/>
  <c r="U533" i="6"/>
  <c r="S533" i="6"/>
  <c r="N533" i="6"/>
  <c r="L533" i="6"/>
  <c r="J533" i="6"/>
  <c r="H533" i="6"/>
  <c r="E533" i="6"/>
  <c r="D533" i="6"/>
  <c r="C533" i="6"/>
  <c r="B533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267" i="6"/>
  <c r="V267" i="6"/>
  <c r="U267" i="6"/>
  <c r="S267" i="6"/>
  <c r="N267" i="6"/>
  <c r="L267" i="6"/>
  <c r="J267" i="6"/>
  <c r="H267" i="6"/>
  <c r="E267" i="6"/>
  <c r="D267" i="6"/>
  <c r="C267" i="6"/>
  <c r="B267" i="6"/>
  <c r="W266" i="6"/>
  <c r="V266" i="6"/>
  <c r="U266" i="6"/>
  <c r="S266" i="6"/>
  <c r="N266" i="6"/>
  <c r="L266" i="6"/>
  <c r="J266" i="6"/>
  <c r="H266" i="6"/>
  <c r="E266" i="6"/>
  <c r="D266" i="6"/>
  <c r="C266" i="6"/>
  <c r="B266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80" i="6"/>
  <c r="V380" i="6"/>
  <c r="U380" i="6"/>
  <c r="S380" i="6"/>
  <c r="N380" i="6"/>
  <c r="L380" i="6"/>
  <c r="J380" i="6"/>
  <c r="H380" i="6"/>
  <c r="E380" i="6"/>
  <c r="D380" i="6"/>
  <c r="C380" i="6"/>
  <c r="B380" i="6"/>
  <c r="V379" i="6"/>
  <c r="U379" i="6"/>
  <c r="S379" i="6"/>
  <c r="N379" i="6"/>
  <c r="L379" i="6"/>
  <c r="J379" i="6"/>
  <c r="H379" i="6"/>
  <c r="E379" i="6"/>
  <c r="D379" i="6"/>
  <c r="C379" i="6"/>
  <c r="B379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477" i="6"/>
  <c r="V477" i="6"/>
  <c r="U477" i="6"/>
  <c r="S477" i="6"/>
  <c r="N477" i="6"/>
  <c r="L477" i="6"/>
  <c r="J477" i="6"/>
  <c r="H477" i="6"/>
  <c r="E477" i="6"/>
  <c r="D477" i="6"/>
  <c r="C477" i="6"/>
  <c r="B477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76" i="6"/>
  <c r="V76" i="6"/>
  <c r="U76" i="6"/>
  <c r="S76" i="6"/>
  <c r="N76" i="6"/>
  <c r="L76" i="6"/>
  <c r="J76" i="6"/>
  <c r="H76" i="6"/>
  <c r="E76" i="6"/>
  <c r="D76" i="6"/>
  <c r="C76" i="6"/>
  <c r="B76" i="6"/>
  <c r="W75" i="6"/>
  <c r="V75" i="6"/>
  <c r="U75" i="6"/>
  <c r="S75" i="6"/>
  <c r="N75" i="6"/>
  <c r="L75" i="6"/>
  <c r="J75" i="6"/>
  <c r="H75" i="6"/>
  <c r="E75" i="6"/>
  <c r="D75" i="6"/>
  <c r="C75" i="6"/>
  <c r="B75" i="6"/>
  <c r="W73" i="6"/>
  <c r="V73" i="6"/>
  <c r="U73" i="6"/>
  <c r="S73" i="6"/>
  <c r="N73" i="6"/>
  <c r="L73" i="6"/>
  <c r="J73" i="6"/>
  <c r="H73" i="6"/>
  <c r="E73" i="6"/>
  <c r="D73" i="6"/>
  <c r="C73" i="6"/>
  <c r="B73" i="6"/>
  <c r="W70" i="6"/>
  <c r="V70" i="6"/>
  <c r="U70" i="6"/>
  <c r="S70" i="6"/>
  <c r="N70" i="6"/>
  <c r="L70" i="6"/>
  <c r="J70" i="6"/>
  <c r="H70" i="6"/>
  <c r="E70" i="6"/>
  <c r="D70" i="6"/>
  <c r="C70" i="6"/>
  <c r="B70" i="6"/>
  <c r="W68" i="6"/>
  <c r="V68" i="6"/>
  <c r="U68" i="6"/>
  <c r="S68" i="6"/>
  <c r="N68" i="6"/>
  <c r="L68" i="6"/>
  <c r="J68" i="6"/>
  <c r="H68" i="6"/>
  <c r="E68" i="6"/>
  <c r="D68" i="6"/>
  <c r="C68" i="6"/>
  <c r="B68" i="6"/>
  <c r="V67" i="6"/>
  <c r="U67" i="6"/>
  <c r="S67" i="6"/>
  <c r="N67" i="6"/>
  <c r="L67" i="6"/>
  <c r="J67" i="6"/>
  <c r="H67" i="6"/>
  <c r="E67" i="6"/>
  <c r="D67" i="6"/>
  <c r="C67" i="6"/>
  <c r="B67" i="6"/>
  <c r="W66" i="6"/>
  <c r="V66" i="6"/>
  <c r="U66" i="6"/>
  <c r="S66" i="6"/>
  <c r="N66" i="6"/>
  <c r="L66" i="6"/>
  <c r="J66" i="6"/>
  <c r="H66" i="6"/>
  <c r="E66" i="6"/>
  <c r="D66" i="6"/>
  <c r="C66" i="6"/>
  <c r="B66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V63" i="6"/>
  <c r="U63" i="6"/>
  <c r="S63" i="6"/>
  <c r="N63" i="6"/>
  <c r="L63" i="6"/>
  <c r="J63" i="6"/>
  <c r="H63" i="6"/>
  <c r="E63" i="6"/>
  <c r="D63" i="6"/>
  <c r="C63" i="6"/>
  <c r="B63" i="6"/>
  <c r="W62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W60" i="6"/>
  <c r="V60" i="6"/>
  <c r="U60" i="6"/>
  <c r="S60" i="6"/>
  <c r="N60" i="6"/>
  <c r="L60" i="6"/>
  <c r="J60" i="6"/>
  <c r="H60" i="6"/>
  <c r="E60" i="6"/>
  <c r="D60" i="6"/>
  <c r="C60" i="6"/>
  <c r="B60" i="6"/>
  <c r="W59" i="6"/>
  <c r="V59" i="6"/>
  <c r="U59" i="6"/>
  <c r="S59" i="6"/>
  <c r="N59" i="6"/>
  <c r="L59" i="6"/>
  <c r="J59" i="6"/>
  <c r="H59" i="6"/>
  <c r="E59" i="6"/>
  <c r="D59" i="6"/>
  <c r="C59" i="6"/>
  <c r="B59" i="6"/>
  <c r="V55" i="6"/>
  <c r="U55" i="6"/>
  <c r="S55" i="6"/>
  <c r="N55" i="6"/>
  <c r="L55" i="6"/>
  <c r="J55" i="6"/>
  <c r="H55" i="6"/>
  <c r="E55" i="6"/>
  <c r="D55" i="6"/>
  <c r="C55" i="6"/>
  <c r="B55" i="6"/>
  <c r="W54" i="6"/>
  <c r="V54" i="6"/>
  <c r="U54" i="6"/>
  <c r="S54" i="6"/>
  <c r="N54" i="6"/>
  <c r="L54" i="6"/>
  <c r="J54" i="6"/>
  <c r="H54" i="6"/>
  <c r="E54" i="6"/>
  <c r="D54" i="6"/>
  <c r="C54" i="6"/>
  <c r="B54" i="6"/>
  <c r="W53" i="6"/>
  <c r="V53" i="6"/>
  <c r="U53" i="6"/>
  <c r="S53" i="6"/>
  <c r="N53" i="6"/>
  <c r="L53" i="6"/>
  <c r="J53" i="6"/>
  <c r="H53" i="6"/>
  <c r="E53" i="6"/>
  <c r="D53" i="6"/>
  <c r="C53" i="6"/>
  <c r="B53" i="6"/>
  <c r="W52" i="6"/>
  <c r="V52" i="6"/>
  <c r="U52" i="6"/>
  <c r="S52" i="6"/>
  <c r="N52" i="6"/>
  <c r="L52" i="6"/>
  <c r="J52" i="6"/>
  <c r="H52" i="6"/>
  <c r="E52" i="6"/>
  <c r="D52" i="6"/>
  <c r="C52" i="6"/>
  <c r="B52" i="6"/>
  <c r="W51" i="6"/>
  <c r="V51" i="6"/>
  <c r="U51" i="6"/>
  <c r="S51" i="6"/>
  <c r="N51" i="6"/>
  <c r="L51" i="6"/>
  <c r="J51" i="6"/>
  <c r="H51" i="6"/>
  <c r="E51" i="6"/>
  <c r="D51" i="6"/>
  <c r="C51" i="6"/>
  <c r="B51" i="6"/>
  <c r="W48" i="6"/>
  <c r="V48" i="6"/>
  <c r="U48" i="6"/>
  <c r="S48" i="6"/>
  <c r="N48" i="6"/>
  <c r="L48" i="6"/>
  <c r="J48" i="6"/>
  <c r="H48" i="6"/>
  <c r="E48" i="6"/>
  <c r="D48" i="6"/>
  <c r="C48" i="6"/>
  <c r="B48" i="6"/>
  <c r="AB125" i="41"/>
  <c r="AB396" i="41"/>
  <c r="AB394" i="41"/>
  <c r="AB388" i="41"/>
  <c r="AB372" i="41"/>
  <c r="AB371" i="41"/>
  <c r="AB421" i="41"/>
  <c r="AB417" i="41"/>
  <c r="AB409" i="41"/>
  <c r="AB408" i="41"/>
  <c r="AB407" i="41"/>
  <c r="AB403" i="41"/>
  <c r="AB399" i="41"/>
  <c r="AB313" i="41"/>
  <c r="AB312" i="41"/>
  <c r="AB521" i="41"/>
  <c r="AB519" i="41"/>
  <c r="AB515" i="41"/>
  <c r="AB508" i="41"/>
  <c r="AB502" i="41"/>
  <c r="AB499" i="41"/>
  <c r="AB554" i="41"/>
  <c r="AB536" i="41"/>
  <c r="AB541" i="41"/>
  <c r="AB530" i="41"/>
  <c r="AB460" i="41"/>
  <c r="AB456" i="41"/>
  <c r="AB452" i="41"/>
  <c r="AB450" i="41"/>
  <c r="AB449" i="41"/>
  <c r="AB443" i="41"/>
  <c r="AB430" i="41"/>
  <c r="AB429" i="41"/>
  <c r="AB267" i="41"/>
  <c r="AB266" i="41"/>
  <c r="AB265" i="41"/>
  <c r="AB264" i="41"/>
  <c r="AB261" i="41"/>
  <c r="AB259" i="41"/>
  <c r="AB258" i="41"/>
  <c r="AB257" i="41"/>
  <c r="AB256" i="41"/>
  <c r="AB254" i="41"/>
  <c r="AB253" i="41"/>
  <c r="AB367" i="41"/>
  <c r="AB366" i="41"/>
  <c r="AB364" i="41"/>
  <c r="AB363" i="41"/>
  <c r="AB361" i="41"/>
  <c r="AB360" i="41"/>
  <c r="AB359" i="41"/>
  <c r="AB350" i="41"/>
  <c r="AB349" i="41"/>
  <c r="AB347" i="41"/>
  <c r="AB345" i="41"/>
  <c r="AB344" i="41"/>
  <c r="AB343" i="41"/>
  <c r="AB342" i="41"/>
  <c r="AB341" i="41"/>
  <c r="AB152" i="41"/>
  <c r="AB150" i="41"/>
  <c r="AB137" i="41"/>
  <c r="AB136" i="41"/>
  <c r="AB128" i="41"/>
  <c r="AB127" i="41"/>
  <c r="AB493" i="41"/>
  <c r="AB481" i="41"/>
  <c r="AB480" i="41"/>
  <c r="AB479" i="41"/>
  <c r="AB476" i="41"/>
  <c r="AB473" i="41"/>
  <c r="AB465" i="41"/>
  <c r="AB302" i="41"/>
  <c r="AB301" i="41"/>
  <c r="AB300" i="41"/>
  <c r="AB282" i="41"/>
  <c r="AB281" i="41"/>
  <c r="AB278" i="41"/>
  <c r="AB104" i="41"/>
  <c r="AB94" i="41"/>
  <c r="AB175" i="41"/>
  <c r="AB174" i="41"/>
  <c r="AB172" i="41"/>
  <c r="AB166" i="41"/>
  <c r="AB165" i="41"/>
  <c r="AB164" i="41"/>
  <c r="AB163" i="41"/>
  <c r="AB162" i="41"/>
  <c r="AB158" i="41"/>
  <c r="AB157" i="41"/>
  <c r="AB205" i="41"/>
  <c r="AB207" i="41"/>
  <c r="AB206" i="41"/>
  <c r="AB191" i="41"/>
  <c r="AB183" i="41"/>
  <c r="AB250" i="41"/>
  <c r="AB246" i="41"/>
  <c r="AB245" i="41"/>
  <c r="AB227" i="41"/>
  <c r="AB228" i="41"/>
  <c r="AB226" i="41"/>
  <c r="AB225" i="41"/>
  <c r="AB223" i="41"/>
  <c r="AB221" i="41"/>
  <c r="AB63" i="41"/>
  <c r="AB62" i="41"/>
  <c r="AB60" i="41"/>
  <c r="AB57" i="41"/>
  <c r="AB55" i="41"/>
  <c r="AB54" i="41"/>
  <c r="AB53" i="41"/>
  <c r="AB52" i="41"/>
  <c r="AB51" i="41"/>
  <c r="AB50" i="41"/>
  <c r="AB49" i="41"/>
  <c r="AB48" i="41"/>
  <c r="AB47" i="41"/>
  <c r="AB46" i="41"/>
  <c r="AB42" i="41"/>
  <c r="AB41" i="41"/>
  <c r="AB40" i="41"/>
  <c r="AB39" i="41"/>
  <c r="AB38" i="41"/>
  <c r="AB35" i="41"/>
  <c r="AB69" i="41"/>
  <c r="AB70" i="41"/>
  <c r="AB71" i="41"/>
  <c r="AB72" i="41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W22" i="6"/>
  <c r="V22" i="6"/>
  <c r="U22" i="6"/>
  <c r="S22" i="6"/>
  <c r="N22" i="6"/>
  <c r="L22" i="6"/>
  <c r="J22" i="6"/>
  <c r="H22" i="6"/>
  <c r="E22" i="6"/>
  <c r="D22" i="6"/>
  <c r="C22" i="6"/>
  <c r="B22" i="6"/>
  <c r="AB16" i="41" l="1"/>
  <c r="AB218" i="41" l="1"/>
  <c r="AB84" i="41"/>
  <c r="W386" i="6" l="1"/>
  <c r="V386" i="6"/>
  <c r="U386" i="6"/>
  <c r="S386" i="6"/>
  <c r="N386" i="6"/>
  <c r="L386" i="6"/>
  <c r="J386" i="6"/>
  <c r="H386" i="6"/>
  <c r="E386" i="6"/>
  <c r="D386" i="6"/>
  <c r="C386" i="6"/>
  <c r="B386" i="6"/>
  <c r="AB373" i="41"/>
  <c r="AB30" i="41"/>
  <c r="AB17" i="41" l="1"/>
  <c r="B78" i="6" l="1"/>
  <c r="AB29" i="41" l="1"/>
  <c r="W403" i="6" l="1"/>
  <c r="V403" i="6"/>
  <c r="U403" i="6"/>
  <c r="S403" i="6"/>
  <c r="N403" i="6"/>
  <c r="L403" i="6"/>
  <c r="J403" i="6"/>
  <c r="H403" i="6"/>
  <c r="E403" i="6"/>
  <c r="D403" i="6"/>
  <c r="C403" i="6"/>
  <c r="B403" i="6"/>
  <c r="AB390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AB23" i="41"/>
  <c r="W208" i="6" l="1"/>
  <c r="V208" i="6"/>
  <c r="U208" i="6"/>
  <c r="S208" i="6"/>
  <c r="N208" i="6"/>
  <c r="L208" i="6"/>
  <c r="J208" i="6"/>
  <c r="H208" i="6"/>
  <c r="E208" i="6"/>
  <c r="D208" i="6"/>
  <c r="C208" i="6"/>
  <c r="B208" i="6"/>
  <c r="AB195" i="41"/>
  <c r="W82" i="6"/>
  <c r="V82" i="6"/>
  <c r="U82" i="6"/>
  <c r="S82" i="6"/>
  <c r="N82" i="6"/>
  <c r="L82" i="6"/>
  <c r="J82" i="6"/>
  <c r="H82" i="6"/>
  <c r="E82" i="6"/>
  <c r="D82" i="6"/>
  <c r="C82" i="6"/>
  <c r="B82" i="6"/>
  <c r="AB86" i="41" l="1"/>
  <c r="W19" i="6" l="1"/>
  <c r="V19" i="6"/>
  <c r="U19" i="6"/>
  <c r="S19" i="6"/>
  <c r="N19" i="6"/>
  <c r="L19" i="6"/>
  <c r="J19" i="6"/>
  <c r="H19" i="6"/>
  <c r="E19" i="6"/>
  <c r="D19" i="6"/>
  <c r="C19" i="6"/>
  <c r="B19" i="6"/>
  <c r="AB6" i="41"/>
  <c r="W487" i="6" l="1"/>
  <c r="V487" i="6"/>
  <c r="U487" i="6"/>
  <c r="S487" i="6"/>
  <c r="N487" i="6"/>
  <c r="L487" i="6"/>
  <c r="J487" i="6"/>
  <c r="H487" i="6"/>
  <c r="E487" i="6"/>
  <c r="D487" i="6"/>
  <c r="C487" i="6"/>
  <c r="B487" i="6"/>
  <c r="AB475" i="41"/>
  <c r="AB351" i="41" l="1"/>
  <c r="W413" i="6"/>
  <c r="V413" i="6"/>
  <c r="U413" i="6"/>
  <c r="S413" i="6"/>
  <c r="N413" i="6"/>
  <c r="L413" i="6"/>
  <c r="J413" i="6"/>
  <c r="H413" i="6"/>
  <c r="E413" i="6"/>
  <c r="D413" i="6"/>
  <c r="C413" i="6"/>
  <c r="B413" i="6"/>
  <c r="AB401" i="41"/>
  <c r="AB368" i="41" l="1"/>
  <c r="V71" i="6" l="1"/>
  <c r="U71" i="6"/>
  <c r="S71" i="6"/>
  <c r="N71" i="6"/>
  <c r="L71" i="6"/>
  <c r="J71" i="6"/>
  <c r="H71" i="6"/>
  <c r="E71" i="6"/>
  <c r="D71" i="6"/>
  <c r="C71" i="6"/>
  <c r="B71" i="6"/>
  <c r="AB58" i="41"/>
  <c r="W443" i="6" l="1"/>
  <c r="V443" i="6"/>
  <c r="U443" i="6"/>
  <c r="S443" i="6"/>
  <c r="N443" i="6"/>
  <c r="L443" i="6"/>
  <c r="J443" i="6"/>
  <c r="H443" i="6"/>
  <c r="E443" i="6"/>
  <c r="D443" i="6"/>
  <c r="C443" i="6"/>
  <c r="B443" i="6"/>
  <c r="AB431" i="41"/>
  <c r="W120" i="6" l="1"/>
  <c r="V120" i="6"/>
  <c r="U120" i="6"/>
  <c r="S120" i="6"/>
  <c r="N120" i="6"/>
  <c r="L120" i="6"/>
  <c r="J120" i="6"/>
  <c r="H120" i="6"/>
  <c r="E120" i="6"/>
  <c r="D120" i="6"/>
  <c r="C120" i="6"/>
  <c r="B120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152" i="6"/>
  <c r="V152" i="6"/>
  <c r="U152" i="6"/>
  <c r="S152" i="6"/>
  <c r="N152" i="6"/>
  <c r="L152" i="6"/>
  <c r="J152" i="6"/>
  <c r="H152" i="6"/>
  <c r="E152" i="6"/>
  <c r="D152" i="6"/>
  <c r="C152" i="6"/>
  <c r="B152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AB171" i="41" l="1"/>
  <c r="W237" i="6"/>
  <c r="V237" i="6"/>
  <c r="U237" i="6"/>
  <c r="S237" i="6"/>
  <c r="N237" i="6"/>
  <c r="L237" i="6"/>
  <c r="J237" i="6"/>
  <c r="H237" i="6"/>
  <c r="E237" i="6"/>
  <c r="D237" i="6"/>
  <c r="C237" i="6"/>
  <c r="B237" i="6"/>
  <c r="W21" i="6"/>
  <c r="V21" i="6"/>
  <c r="U21" i="6"/>
  <c r="S21" i="6"/>
  <c r="N21" i="6"/>
  <c r="L21" i="6"/>
  <c r="J21" i="6"/>
  <c r="H21" i="6"/>
  <c r="E21" i="6"/>
  <c r="D21" i="6"/>
  <c r="C21" i="6"/>
  <c r="B21" i="6"/>
  <c r="B18" i="6"/>
  <c r="C18" i="6"/>
  <c r="D18" i="6"/>
  <c r="E18" i="6"/>
  <c r="H18" i="6"/>
  <c r="J18" i="6"/>
  <c r="L18" i="6"/>
  <c r="N18" i="6"/>
  <c r="S18" i="6"/>
  <c r="U18" i="6"/>
  <c r="V18" i="6"/>
  <c r="W18" i="6"/>
  <c r="AB339" i="41"/>
  <c r="AB340" i="41"/>
  <c r="AB362" i="41"/>
  <c r="AB107" i="41" l="1"/>
  <c r="W265" i="6" l="1"/>
  <c r="V265" i="6"/>
  <c r="U265" i="6"/>
  <c r="S265" i="6"/>
  <c r="N265" i="6"/>
  <c r="L265" i="6"/>
  <c r="J265" i="6"/>
  <c r="H265" i="6"/>
  <c r="E265" i="6"/>
  <c r="D265" i="6"/>
  <c r="C265" i="6"/>
  <c r="B265" i="6"/>
  <c r="AB224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7" i="41"/>
  <c r="W316" i="6" l="1"/>
  <c r="V316" i="6"/>
  <c r="U316" i="6"/>
  <c r="S316" i="6"/>
  <c r="N316" i="6"/>
  <c r="L316" i="6"/>
  <c r="J316" i="6"/>
  <c r="H316" i="6"/>
  <c r="E316" i="6"/>
  <c r="D316" i="6"/>
  <c r="C316" i="6"/>
  <c r="B316" i="6"/>
  <c r="AB303" i="41"/>
  <c r="W79" i="6" l="1"/>
  <c r="V79" i="6"/>
  <c r="U79" i="6"/>
  <c r="S79" i="6"/>
  <c r="N79" i="6"/>
  <c r="L79" i="6"/>
  <c r="J79" i="6"/>
  <c r="H79" i="6"/>
  <c r="E79" i="6"/>
  <c r="D79" i="6"/>
  <c r="C79" i="6"/>
  <c r="B79" i="6"/>
  <c r="AB455" i="41"/>
  <c r="AB11" i="41"/>
  <c r="AB139" i="41" l="1"/>
  <c r="AB138" i="41"/>
  <c r="W474" i="6"/>
  <c r="V474" i="6"/>
  <c r="U474" i="6"/>
  <c r="S474" i="6"/>
  <c r="N474" i="6"/>
  <c r="L474" i="6"/>
  <c r="J474" i="6"/>
  <c r="H474" i="6"/>
  <c r="E474" i="6"/>
  <c r="D474" i="6"/>
  <c r="C474" i="6"/>
  <c r="B474" i="6"/>
  <c r="AB478" i="41"/>
  <c r="AB466" i="41"/>
  <c r="AB46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AB252" i="41"/>
  <c r="AB255" i="41"/>
  <c r="V50" i="6"/>
  <c r="U50" i="6"/>
  <c r="S50" i="6"/>
  <c r="N50" i="6"/>
  <c r="L50" i="6"/>
  <c r="J50" i="6"/>
  <c r="H50" i="6"/>
  <c r="E50" i="6"/>
  <c r="D50" i="6"/>
  <c r="C50" i="6"/>
  <c r="B50" i="6"/>
  <c r="AB37" i="41"/>
  <c r="C499" i="6" l="1"/>
  <c r="W346" i="6"/>
  <c r="V346" i="6"/>
  <c r="U346" i="6"/>
  <c r="S346" i="6"/>
  <c r="N346" i="6"/>
  <c r="L346" i="6"/>
  <c r="J346" i="6"/>
  <c r="H346" i="6"/>
  <c r="E346" i="6"/>
  <c r="D346" i="6"/>
  <c r="C346" i="6"/>
  <c r="B346" i="6"/>
  <c r="C337" i="6"/>
  <c r="C327" i="6"/>
  <c r="C323" i="6"/>
  <c r="C532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3" i="6"/>
  <c r="C162" i="6" l="1"/>
  <c r="C139" i="6"/>
  <c r="C100" i="6"/>
  <c r="C78" i="6"/>
  <c r="C106" i="6"/>
  <c r="C284" i="6"/>
  <c r="C276" i="6"/>
  <c r="C434" i="6"/>
  <c r="C411" i="6"/>
  <c r="C198" i="6"/>
  <c r="C195" i="6"/>
  <c r="C375" i="6"/>
  <c r="C364" i="6"/>
  <c r="C353" i="6"/>
  <c r="C46" i="6"/>
  <c r="C394" i="6"/>
  <c r="C383" i="6"/>
  <c r="C440" i="6"/>
  <c r="AB500" i="41"/>
  <c r="AB76" i="41"/>
  <c r="C167" i="6"/>
  <c r="C306" i="6"/>
  <c r="C290" i="6"/>
  <c r="AB8" i="41"/>
  <c r="C20" i="6"/>
  <c r="C16" i="6"/>
  <c r="AB461" i="41" l="1"/>
  <c r="B232" i="6" l="1"/>
  <c r="W434" i="6" l="1"/>
  <c r="V434" i="6"/>
  <c r="U434" i="6"/>
  <c r="S434" i="6"/>
  <c r="N434" i="6"/>
  <c r="L434" i="6"/>
  <c r="J434" i="6"/>
  <c r="H434" i="6"/>
  <c r="E434" i="6"/>
  <c r="D434" i="6"/>
  <c r="B434" i="6"/>
  <c r="AB83" i="41" l="1"/>
  <c r="AB10" i="41"/>
  <c r="AB9" i="41"/>
  <c r="AB21" i="41"/>
  <c r="AB66" i="41"/>
  <c r="AB92" i="41" l="1"/>
  <c r="G40" i="8" l="1"/>
  <c r="C28" i="8"/>
  <c r="G43" i="8" l="1"/>
  <c r="W532" i="6" l="1"/>
  <c r="V532" i="6"/>
  <c r="U532" i="6"/>
  <c r="S532" i="6"/>
  <c r="N532" i="6"/>
  <c r="L532" i="6"/>
  <c r="J532" i="6"/>
  <c r="H532" i="6"/>
  <c r="E532" i="6"/>
  <c r="D532" i="6"/>
  <c r="B532" i="6"/>
  <c r="AB520" i="41"/>
  <c r="W375" i="6" l="1"/>
  <c r="V375" i="6"/>
  <c r="U375" i="6"/>
  <c r="S375" i="6"/>
  <c r="N375" i="6"/>
  <c r="L375" i="6"/>
  <c r="J375" i="6"/>
  <c r="H375" i="6"/>
  <c r="E375" i="6"/>
  <c r="D375" i="6"/>
  <c r="B375" i="6"/>
  <c r="V364" i="6"/>
  <c r="U364" i="6"/>
  <c r="S364" i="6"/>
  <c r="N364" i="6"/>
  <c r="L364" i="6"/>
  <c r="J364" i="6"/>
  <c r="H364" i="6"/>
  <c r="E364" i="6"/>
  <c r="D364" i="6"/>
  <c r="B364" i="6"/>
  <c r="V20" i="6" l="1"/>
  <c r="U20" i="6"/>
  <c r="S20" i="6"/>
  <c r="N20" i="6"/>
  <c r="L20" i="6"/>
  <c r="J20" i="6"/>
  <c r="H20" i="6"/>
  <c r="E20" i="6"/>
  <c r="D20" i="6"/>
  <c r="B20" i="6"/>
  <c r="AB64" i="41" l="1"/>
  <c r="AB65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6" i="6"/>
  <c r="D16" i="6"/>
  <c r="C1" i="39"/>
  <c r="D1" i="39"/>
  <c r="C7" i="39"/>
  <c r="D7" i="39"/>
  <c r="D383" i="6"/>
  <c r="D394" i="6"/>
  <c r="D290" i="6"/>
  <c r="D306" i="6"/>
  <c r="D167" i="6"/>
  <c r="D139" i="6"/>
  <c r="D162" i="6"/>
  <c r="D78" i="6"/>
  <c r="D100" i="6"/>
  <c r="D411" i="6"/>
  <c r="D106" i="6"/>
  <c r="D353" i="6"/>
  <c r="D323" i="6"/>
  <c r="D327" i="6"/>
  <c r="D337" i="6"/>
  <c r="D276" i="6"/>
  <c r="D284" i="6"/>
  <c r="D440" i="6"/>
  <c r="D508" i="6"/>
  <c r="C2" i="39"/>
  <c r="D2" i="39"/>
  <c r="D9" i="39"/>
  <c r="C9" i="39"/>
  <c r="D4" i="39"/>
  <c r="C4" i="39"/>
  <c r="H306" i="6"/>
  <c r="S306" i="6"/>
  <c r="V306" i="6"/>
  <c r="J306" i="6"/>
  <c r="L306" i="6"/>
  <c r="N306" i="6"/>
  <c r="U306" i="6"/>
  <c r="D3" i="39"/>
  <c r="C3" i="39"/>
  <c r="K22" i="21"/>
  <c r="K28" i="21"/>
  <c r="S24" i="21"/>
  <c r="C6" i="39"/>
  <c r="D6" i="39"/>
  <c r="C5" i="39"/>
  <c r="D5" i="39"/>
  <c r="W543" i="6"/>
  <c r="V543" i="6"/>
  <c r="U543" i="6"/>
  <c r="S543" i="6"/>
  <c r="N543" i="6"/>
  <c r="L543" i="6"/>
  <c r="J543" i="6"/>
  <c r="H543" i="6"/>
  <c r="E543" i="6"/>
  <c r="D543" i="6"/>
  <c r="B543" i="6"/>
  <c r="AB28" i="41"/>
  <c r="C49" i="8" s="1"/>
  <c r="G42" i="8"/>
  <c r="D499" i="6"/>
  <c r="D195" i="6"/>
  <c r="D198" i="6"/>
  <c r="AB3" i="41"/>
  <c r="AB5" i="41"/>
  <c r="AB293" i="41"/>
  <c r="G10" i="8"/>
  <c r="K40" i="8"/>
  <c r="K46" i="8"/>
  <c r="W100" i="6"/>
  <c r="I10" i="6"/>
  <c r="W499" i="6"/>
  <c r="V499" i="6"/>
  <c r="U499" i="6"/>
  <c r="S499" i="6"/>
  <c r="N499" i="6"/>
  <c r="L499" i="6"/>
  <c r="J499" i="6"/>
  <c r="H499" i="6"/>
  <c r="E499" i="6"/>
  <c r="B499" i="6"/>
  <c r="B473" i="6" s="1"/>
  <c r="AB487" i="41"/>
  <c r="V284" i="6"/>
  <c r="U284" i="6"/>
  <c r="S284" i="6"/>
  <c r="N284" i="6"/>
  <c r="L284" i="6"/>
  <c r="J284" i="6"/>
  <c r="H284" i="6"/>
  <c r="E284" i="6"/>
  <c r="B284" i="6"/>
  <c r="AB271" i="41"/>
  <c r="K32" i="8" s="1"/>
  <c r="AB7" i="41"/>
  <c r="B106" i="6"/>
  <c r="V106" i="6"/>
  <c r="U106" i="6"/>
  <c r="S106" i="6"/>
  <c r="N106" i="6"/>
  <c r="L106" i="6"/>
  <c r="J106" i="6"/>
  <c r="H106" i="6"/>
  <c r="E106" i="6"/>
  <c r="AB93" i="41"/>
  <c r="W276" i="6"/>
  <c r="V276" i="6"/>
  <c r="U276" i="6"/>
  <c r="S276" i="6"/>
  <c r="N276" i="6"/>
  <c r="L276" i="6"/>
  <c r="J276" i="6"/>
  <c r="H276" i="6"/>
  <c r="E276" i="6"/>
  <c r="B276" i="6"/>
  <c r="AB263" i="41"/>
  <c r="V100" i="6"/>
  <c r="U100" i="6"/>
  <c r="S100" i="6"/>
  <c r="N100" i="6"/>
  <c r="L100" i="6"/>
  <c r="J100" i="6"/>
  <c r="H100" i="6"/>
  <c r="E100" i="6"/>
  <c r="B100" i="6"/>
  <c r="AB531" i="41"/>
  <c r="B306" i="6"/>
  <c r="E306" i="6"/>
  <c r="G44" i="8"/>
  <c r="V195" i="6"/>
  <c r="U195" i="6"/>
  <c r="S195" i="6"/>
  <c r="N195" i="6"/>
  <c r="L195" i="6"/>
  <c r="J195" i="6"/>
  <c r="H195" i="6"/>
  <c r="W195" i="6" s="1"/>
  <c r="E195" i="6"/>
  <c r="B195" i="6"/>
  <c r="AB182" i="41"/>
  <c r="C5" i="8" s="1"/>
  <c r="B167" i="6"/>
  <c r="B353" i="6"/>
  <c r="B352" i="6" s="1"/>
  <c r="AB154" i="41"/>
  <c r="H167" i="6"/>
  <c r="W394" i="6"/>
  <c r="V394" i="6"/>
  <c r="U394" i="6"/>
  <c r="S394" i="6"/>
  <c r="N394" i="6"/>
  <c r="L394" i="6"/>
  <c r="J394" i="6"/>
  <c r="H394" i="6"/>
  <c r="E394" i="6"/>
  <c r="B394" i="6"/>
  <c r="AB381" i="41"/>
  <c r="B16" i="6"/>
  <c r="B383" i="6"/>
  <c r="B411" i="6"/>
  <c r="B139" i="6"/>
  <c r="B162" i="6"/>
  <c r="B508" i="6"/>
  <c r="B440" i="6"/>
  <c r="B290" i="6"/>
  <c r="B198" i="6"/>
  <c r="B323" i="6"/>
  <c r="B327" i="6"/>
  <c r="B337" i="6"/>
  <c r="W337" i="6"/>
  <c r="V337" i="6"/>
  <c r="U337" i="6"/>
  <c r="S337" i="6"/>
  <c r="N337" i="6"/>
  <c r="L337" i="6"/>
  <c r="J337" i="6"/>
  <c r="H337" i="6"/>
  <c r="E337" i="6"/>
  <c r="AB324" i="41"/>
  <c r="W162" i="6"/>
  <c r="W198" i="6"/>
  <c r="V198" i="6"/>
  <c r="U198" i="6"/>
  <c r="S198" i="6"/>
  <c r="N198" i="6"/>
  <c r="L198" i="6"/>
  <c r="J198" i="6"/>
  <c r="H198" i="6"/>
  <c r="E198" i="6"/>
  <c r="V78" i="6"/>
  <c r="U78" i="6"/>
  <c r="S78" i="6"/>
  <c r="N78" i="6"/>
  <c r="L78" i="6"/>
  <c r="J78" i="6"/>
  <c r="H78" i="6"/>
  <c r="E78" i="6"/>
  <c r="H383" i="6"/>
  <c r="V46" i="6"/>
  <c r="U46" i="6"/>
  <c r="S46" i="6"/>
  <c r="N46" i="6"/>
  <c r="L46" i="6"/>
  <c r="J46" i="6"/>
  <c r="H46" i="6"/>
  <c r="E46" i="6"/>
  <c r="B46" i="6"/>
  <c r="B45" i="6" s="1"/>
  <c r="V353" i="6"/>
  <c r="U353" i="6"/>
  <c r="S353" i="6"/>
  <c r="N353" i="6"/>
  <c r="L353" i="6"/>
  <c r="J353" i="6"/>
  <c r="H353" i="6"/>
  <c r="E353" i="6"/>
  <c r="W327" i="6"/>
  <c r="V327" i="6"/>
  <c r="U327" i="6"/>
  <c r="S327" i="6"/>
  <c r="N327" i="6"/>
  <c r="L327" i="6"/>
  <c r="J327" i="6"/>
  <c r="H327" i="6"/>
  <c r="E327" i="6"/>
  <c r="V383" i="6"/>
  <c r="U383" i="6"/>
  <c r="S383" i="6"/>
  <c r="N383" i="6"/>
  <c r="L383" i="6"/>
  <c r="J383" i="6"/>
  <c r="E383" i="6"/>
  <c r="E16" i="6"/>
  <c r="E162" i="6"/>
  <c r="E290" i="6"/>
  <c r="E440" i="6"/>
  <c r="E323" i="6"/>
  <c r="E508" i="6"/>
  <c r="E167" i="6"/>
  <c r="E411" i="6"/>
  <c r="V162" i="6"/>
  <c r="U162" i="6"/>
  <c r="S162" i="6"/>
  <c r="N162" i="6"/>
  <c r="L162" i="6"/>
  <c r="J162" i="6"/>
  <c r="H162" i="6"/>
  <c r="E139" i="6"/>
  <c r="H290" i="6"/>
  <c r="W290" i="6"/>
  <c r="V290" i="6"/>
  <c r="U290" i="6"/>
  <c r="S290" i="6"/>
  <c r="N290" i="6"/>
  <c r="L290" i="6"/>
  <c r="J290" i="6"/>
  <c r="W323" i="6"/>
  <c r="V323" i="6"/>
  <c r="U323" i="6"/>
  <c r="S323" i="6"/>
  <c r="N323" i="6"/>
  <c r="L323" i="6"/>
  <c r="J323" i="6"/>
  <c r="H323" i="6"/>
  <c r="S440" i="6"/>
  <c r="H139" i="6"/>
  <c r="J139" i="6"/>
  <c r="L139" i="6"/>
  <c r="N139" i="6"/>
  <c r="S139" i="6"/>
  <c r="U139" i="6"/>
  <c r="V139" i="6"/>
  <c r="H508" i="6"/>
  <c r="J508" i="6"/>
  <c r="L508" i="6"/>
  <c r="N508" i="6"/>
  <c r="S508" i="6"/>
  <c r="U508" i="6"/>
  <c r="V508" i="6"/>
  <c r="J167" i="6"/>
  <c r="L167" i="6"/>
  <c r="N167" i="6"/>
  <c r="S167" i="6"/>
  <c r="U167" i="6"/>
  <c r="V167" i="6"/>
  <c r="W440" i="6"/>
  <c r="H411" i="6"/>
  <c r="J411" i="6"/>
  <c r="L411" i="6"/>
  <c r="N411" i="6"/>
  <c r="S411" i="6"/>
  <c r="U411" i="6"/>
  <c r="V411" i="6"/>
  <c r="H440" i="6"/>
  <c r="J440" i="6"/>
  <c r="L440" i="6"/>
  <c r="N440" i="6"/>
  <c r="U440" i="6"/>
  <c r="V440" i="6"/>
  <c r="W508" i="6"/>
  <c r="W139" i="6"/>
  <c r="W411" i="6"/>
  <c r="AB310" i="41"/>
  <c r="G45" i="8"/>
  <c r="AB149" i="41"/>
  <c r="K42" i="8"/>
  <c r="C24" i="8"/>
  <c r="AB185" i="41"/>
  <c r="C44" i="8"/>
  <c r="G27" i="8"/>
  <c r="AB219" i="41"/>
  <c r="G28" i="8"/>
  <c r="AB370" i="41"/>
  <c r="C41" i="8"/>
  <c r="AB33" i="41"/>
  <c r="G41" i="8"/>
  <c r="G32" i="8"/>
  <c r="AB314" i="41"/>
  <c r="K24" i="8" s="1"/>
  <c r="AB220" i="41"/>
  <c r="K29" i="8"/>
  <c r="AB369" i="41"/>
  <c r="AB397" i="41"/>
  <c r="AB398" i="41"/>
  <c r="AB153" i="41"/>
  <c r="AB495" i="41"/>
  <c r="AB496" i="41"/>
  <c r="AB32" i="41"/>
  <c r="AB526" i="41"/>
  <c r="AB309" i="41"/>
  <c r="AB427" i="41"/>
  <c r="AB428" i="41"/>
  <c r="AB2" i="41"/>
  <c r="AB251" i="41"/>
  <c r="AB181" i="41"/>
  <c r="AB276" i="41"/>
  <c r="AB277" i="41"/>
  <c r="AB126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C6" i="8"/>
  <c r="K7" i="8"/>
  <c r="C7" i="8"/>
  <c r="K8" i="8"/>
  <c r="K10" i="8"/>
  <c r="C45" i="8"/>
  <c r="K28" i="8"/>
  <c r="K6" i="8"/>
  <c r="K23" i="8"/>
  <c r="C25" i="8"/>
  <c r="C40" i="8"/>
  <c r="G23" i="8"/>
  <c r="G24" i="8"/>
  <c r="G7" i="8"/>
  <c r="G15" i="8"/>
  <c r="C31" i="8"/>
  <c r="K14" i="8"/>
  <c r="C27" i="8"/>
  <c r="G26" i="8"/>
  <c r="C48" i="8"/>
  <c r="W306" i="6"/>
  <c r="G49" i="8" l="1"/>
  <c r="H49" i="8" s="1"/>
  <c r="K31" i="8"/>
  <c r="L31" i="8" s="1"/>
  <c r="K48" i="8"/>
  <c r="L48" i="8" s="1"/>
  <c r="B166" i="6"/>
  <c r="K47" i="8"/>
  <c r="L47" i="8" s="1"/>
  <c r="K13" i="8"/>
  <c r="L13" i="8" s="1"/>
  <c r="B289" i="6"/>
  <c r="B138" i="6"/>
  <c r="B538" i="6"/>
  <c r="B194" i="6"/>
  <c r="B322" i="6"/>
  <c r="B26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0" i="6"/>
  <c r="C39" i="8"/>
  <c r="D39" i="8" s="1"/>
  <c r="G39" i="8"/>
  <c r="H39" i="8" s="1"/>
  <c r="B15" i="6"/>
  <c r="B77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5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39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2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0" i="6" l="1"/>
  <c r="W353" i="6"/>
  <c r="W106" i="6"/>
  <c r="W364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68" i="6" s="1"/>
  <c r="B33" i="39"/>
  <c r="W4" i="6" s="1"/>
  <c r="B41" i="39"/>
  <c r="W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B13" i="39"/>
  <c r="Q3" i="6" s="1"/>
  <c r="Q28" i="6" s="1"/>
  <c r="B44" i="39"/>
  <c r="V10" i="6" s="1"/>
  <c r="B15" i="39"/>
  <c r="Q4" i="6" s="1"/>
  <c r="Q408" i="6" s="1"/>
  <c r="B30" i="39"/>
  <c r="V3" i="6" s="1"/>
  <c r="B14" i="39"/>
  <c r="P4" i="6" s="1"/>
  <c r="B16" i="39"/>
  <c r="P5" i="6" s="1"/>
  <c r="B45" i="39"/>
  <c r="W10" i="6" s="1"/>
  <c r="Q282" i="6" s="1"/>
  <c r="B39" i="39"/>
  <c r="W7" i="6" s="1"/>
  <c r="B35" i="39"/>
  <c r="W5" i="6" s="1"/>
  <c r="Q335" i="6" s="1"/>
  <c r="K14" i="21"/>
  <c r="B47" i="39"/>
  <c r="W11" i="6" s="1"/>
  <c r="B29" i="39"/>
  <c r="Q11" i="6" s="1"/>
  <c r="B23" i="39"/>
  <c r="Q8" i="6" s="1"/>
  <c r="Q87" i="6" s="1"/>
  <c r="B18" i="39"/>
  <c r="P6" i="6" s="1"/>
  <c r="B36" i="39"/>
  <c r="V6" i="6" s="1"/>
  <c r="S6" i="21"/>
  <c r="S5" i="21"/>
  <c r="P132" i="6" l="1"/>
  <c r="O132" i="6"/>
  <c r="Q113" i="6"/>
  <c r="Q132" i="6"/>
  <c r="Q242" i="6"/>
  <c r="Q250" i="6"/>
  <c r="P250" i="6"/>
  <c r="O250" i="6"/>
  <c r="P113" i="6"/>
  <c r="O113" i="6"/>
  <c r="Q417" i="6"/>
  <c r="Q423" i="6"/>
  <c r="P423" i="6"/>
  <c r="O423" i="6"/>
  <c r="P417" i="6"/>
  <c r="O417" i="6"/>
  <c r="P335" i="6"/>
  <c r="O335" i="6"/>
  <c r="P164" i="6"/>
  <c r="O164" i="6"/>
  <c r="Q160" i="6"/>
  <c r="Q164" i="6"/>
  <c r="P160" i="6"/>
  <c r="O160" i="6"/>
  <c r="P168" i="6"/>
  <c r="O168" i="6"/>
  <c r="Q436" i="6"/>
  <c r="Q432" i="6"/>
  <c r="P432" i="6"/>
  <c r="O432" i="6"/>
  <c r="P436" i="6"/>
  <c r="O436" i="6"/>
  <c r="Q414" i="6"/>
  <c r="Q422" i="6"/>
  <c r="P422" i="6"/>
  <c r="O422" i="6"/>
  <c r="P414" i="6"/>
  <c r="O414" i="6"/>
  <c r="P408" i="6"/>
  <c r="O408" i="6"/>
  <c r="P282" i="6"/>
  <c r="O282" i="6"/>
  <c r="O69" i="6"/>
  <c r="P69" i="6"/>
  <c r="Q72" i="6"/>
  <c r="Q69" i="6"/>
  <c r="P28" i="6"/>
  <c r="O28" i="6"/>
  <c r="Q37" i="6"/>
  <c r="Q17" i="6"/>
  <c r="P17" i="6"/>
  <c r="O17" i="6"/>
  <c r="W17" i="6" s="1"/>
  <c r="Q433" i="6"/>
  <c r="Q428" i="6"/>
  <c r="Q429" i="6"/>
  <c r="Q430" i="6"/>
  <c r="Q426" i="6"/>
  <c r="Q431" i="6"/>
  <c r="Q427" i="6"/>
  <c r="P431" i="6"/>
  <c r="O430" i="6"/>
  <c r="P427" i="6"/>
  <c r="O426" i="6"/>
  <c r="P433" i="6"/>
  <c r="O431" i="6"/>
  <c r="P428" i="6"/>
  <c r="O427" i="6"/>
  <c r="O433" i="6"/>
  <c r="P429" i="6"/>
  <c r="O428" i="6"/>
  <c r="P430" i="6"/>
  <c r="O429" i="6"/>
  <c r="P426" i="6"/>
  <c r="Q424" i="6"/>
  <c r="Q418" i="6"/>
  <c r="Q419" i="6"/>
  <c r="Q420" i="6"/>
  <c r="Q415" i="6"/>
  <c r="Q421" i="6"/>
  <c r="Q416" i="6"/>
  <c r="P421" i="6"/>
  <c r="O420" i="6"/>
  <c r="P416" i="6"/>
  <c r="O415" i="6"/>
  <c r="P424" i="6"/>
  <c r="O421" i="6"/>
  <c r="P418" i="6"/>
  <c r="O416" i="6"/>
  <c r="O424" i="6"/>
  <c r="P419" i="6"/>
  <c r="O418" i="6"/>
  <c r="P420" i="6"/>
  <c r="O419" i="6"/>
  <c r="P415" i="6"/>
  <c r="P242" i="6"/>
  <c r="O242" i="6"/>
  <c r="P87" i="6"/>
  <c r="O87" i="6"/>
  <c r="P37" i="6"/>
  <c r="O37" i="6"/>
  <c r="Q566" i="6"/>
  <c r="Q563" i="6"/>
  <c r="Q564" i="6"/>
  <c r="Q565" i="6"/>
  <c r="P565" i="6"/>
  <c r="O564" i="6"/>
  <c r="O563" i="6"/>
  <c r="P566" i="6"/>
  <c r="O565" i="6"/>
  <c r="O566" i="6"/>
  <c r="P563" i="6"/>
  <c r="P564" i="6"/>
  <c r="Q561" i="6"/>
  <c r="Q557" i="6"/>
  <c r="Q558" i="6"/>
  <c r="Q559" i="6"/>
  <c r="Q555" i="6"/>
  <c r="Q560" i="6"/>
  <c r="Q556" i="6"/>
  <c r="P560" i="6"/>
  <c r="O559" i="6"/>
  <c r="P556" i="6"/>
  <c r="O555" i="6"/>
  <c r="P561" i="6"/>
  <c r="O560" i="6"/>
  <c r="P557" i="6"/>
  <c r="O556" i="6"/>
  <c r="P555" i="6"/>
  <c r="O561" i="6"/>
  <c r="P558" i="6"/>
  <c r="O557" i="6"/>
  <c r="P559" i="6"/>
  <c r="O558" i="6"/>
  <c r="P552" i="6"/>
  <c r="O551" i="6"/>
  <c r="P548" i="6"/>
  <c r="O547" i="6"/>
  <c r="P544" i="6"/>
  <c r="P553" i="6"/>
  <c r="O552" i="6"/>
  <c r="P549" i="6"/>
  <c r="O548" i="6"/>
  <c r="P545" i="6"/>
  <c r="O544" i="6"/>
  <c r="O553" i="6"/>
  <c r="P550" i="6"/>
  <c r="O549" i="6"/>
  <c r="P546" i="6"/>
  <c r="O545" i="6"/>
  <c r="P551" i="6"/>
  <c r="O550" i="6"/>
  <c r="P547" i="6"/>
  <c r="O546" i="6"/>
  <c r="Q553" i="6"/>
  <c r="Q549" i="6"/>
  <c r="Q545" i="6"/>
  <c r="Q550" i="6"/>
  <c r="Q546" i="6"/>
  <c r="Q551" i="6"/>
  <c r="Q547" i="6"/>
  <c r="Q552" i="6"/>
  <c r="Q548" i="6"/>
  <c r="Q544" i="6"/>
  <c r="P530" i="6"/>
  <c r="O529" i="6"/>
  <c r="P526" i="6"/>
  <c r="O525" i="6"/>
  <c r="P522" i="6"/>
  <c r="O521" i="6"/>
  <c r="P531" i="6"/>
  <c r="O530" i="6"/>
  <c r="P527" i="6"/>
  <c r="O526" i="6"/>
  <c r="P523" i="6"/>
  <c r="O522" i="6"/>
  <c r="O531" i="6"/>
  <c r="P528" i="6"/>
  <c r="O527" i="6"/>
  <c r="P524" i="6"/>
  <c r="O523" i="6"/>
  <c r="P529" i="6"/>
  <c r="O528" i="6"/>
  <c r="P525" i="6"/>
  <c r="O524" i="6"/>
  <c r="P521" i="6"/>
  <c r="Q531" i="6"/>
  <c r="Q527" i="6"/>
  <c r="Q523" i="6"/>
  <c r="Q528" i="6"/>
  <c r="Q524" i="6"/>
  <c r="Q529" i="6"/>
  <c r="Q525" i="6"/>
  <c r="Q521" i="6"/>
  <c r="Q530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6" i="6"/>
  <c r="Q502" i="6"/>
  <c r="Q503" i="6"/>
  <c r="Q504" i="6"/>
  <c r="Q500" i="6"/>
  <c r="Q505" i="6"/>
  <c r="Q501" i="6"/>
  <c r="P505" i="6"/>
  <c r="O504" i="6"/>
  <c r="P501" i="6"/>
  <c r="O500" i="6"/>
  <c r="P506" i="6"/>
  <c r="O505" i="6"/>
  <c r="P502" i="6"/>
  <c r="O501" i="6"/>
  <c r="O506" i="6"/>
  <c r="P503" i="6"/>
  <c r="O502" i="6"/>
  <c r="P504" i="6"/>
  <c r="O503" i="6"/>
  <c r="P500" i="6"/>
  <c r="Q498" i="6"/>
  <c r="Q494" i="6"/>
  <c r="Q490" i="6"/>
  <c r="Q495" i="6"/>
  <c r="Q491" i="6"/>
  <c r="Q496" i="6"/>
  <c r="Q492" i="6"/>
  <c r="Q488" i="6"/>
  <c r="Q497" i="6"/>
  <c r="Q493" i="6"/>
  <c r="Q489" i="6"/>
  <c r="P497" i="6"/>
  <c r="O496" i="6"/>
  <c r="P493" i="6"/>
  <c r="O492" i="6"/>
  <c r="P489" i="6"/>
  <c r="O488" i="6"/>
  <c r="P498" i="6"/>
  <c r="O497" i="6"/>
  <c r="P494" i="6"/>
  <c r="O493" i="6"/>
  <c r="P490" i="6"/>
  <c r="O489" i="6"/>
  <c r="O498" i="6"/>
  <c r="P495" i="6"/>
  <c r="O494" i="6"/>
  <c r="P491" i="6"/>
  <c r="O490" i="6"/>
  <c r="P496" i="6"/>
  <c r="O495" i="6"/>
  <c r="P492" i="6"/>
  <c r="O491" i="6"/>
  <c r="P488" i="6"/>
  <c r="Q486" i="6"/>
  <c r="Q482" i="6"/>
  <c r="Q483" i="6"/>
  <c r="Q479" i="6"/>
  <c r="Q484" i="6"/>
  <c r="Q480" i="6"/>
  <c r="Q485" i="6"/>
  <c r="Q481" i="6"/>
  <c r="P485" i="6"/>
  <c r="O484" i="6"/>
  <c r="P481" i="6"/>
  <c r="O480" i="6"/>
  <c r="P484" i="6"/>
  <c r="O483" i="6"/>
  <c r="P486" i="6"/>
  <c r="O485" i="6"/>
  <c r="P482" i="6"/>
  <c r="O481" i="6"/>
  <c r="P480" i="6"/>
  <c r="O479" i="6"/>
  <c r="O486" i="6"/>
  <c r="P483" i="6"/>
  <c r="O482" i="6"/>
  <c r="P479" i="6"/>
  <c r="Q472" i="6"/>
  <c r="Q469" i="6"/>
  <c r="Q470" i="6"/>
  <c r="Q471" i="6"/>
  <c r="Q467" i="6"/>
  <c r="Q468" i="6"/>
  <c r="O471" i="6"/>
  <c r="P468" i="6"/>
  <c r="O467" i="6"/>
  <c r="P472" i="6"/>
  <c r="P469" i="6"/>
  <c r="O468" i="6"/>
  <c r="O472" i="6"/>
  <c r="P470" i="6"/>
  <c r="O469" i="6"/>
  <c r="P471" i="6"/>
  <c r="O470" i="6"/>
  <c r="P467" i="6"/>
  <c r="Q465" i="6"/>
  <c r="Q461" i="6"/>
  <c r="Q457" i="6"/>
  <c r="Q453" i="6"/>
  <c r="Q449" i="6"/>
  <c r="Q445" i="6"/>
  <c r="Q444" i="6"/>
  <c r="Q462" i="6"/>
  <c r="Q458" i="6"/>
  <c r="Q454" i="6"/>
  <c r="Q450" i="6"/>
  <c r="Q446" i="6"/>
  <c r="Q464" i="6"/>
  <c r="Q456" i="6"/>
  <c r="Q463" i="6"/>
  <c r="Q459" i="6"/>
  <c r="Q455" i="6"/>
  <c r="Q451" i="6"/>
  <c r="Q447" i="6"/>
  <c r="Q460" i="6"/>
  <c r="Q452" i="6"/>
  <c r="Q448" i="6"/>
  <c r="P464" i="6"/>
  <c r="O463" i="6"/>
  <c r="P460" i="6"/>
  <c r="O459" i="6"/>
  <c r="P456" i="6"/>
  <c r="O455" i="6"/>
  <c r="P452" i="6"/>
  <c r="O451" i="6"/>
  <c r="P448" i="6"/>
  <c r="O447" i="6"/>
  <c r="P444" i="6"/>
  <c r="O462" i="6"/>
  <c r="P459" i="6"/>
  <c r="P455" i="6"/>
  <c r="P451" i="6"/>
  <c r="P447" i="6"/>
  <c r="P465" i="6"/>
  <c r="O464" i="6"/>
  <c r="P461" i="6"/>
  <c r="O460" i="6"/>
  <c r="P457" i="6"/>
  <c r="O456" i="6"/>
  <c r="P453" i="6"/>
  <c r="O452" i="6"/>
  <c r="P449" i="6"/>
  <c r="O448" i="6"/>
  <c r="P445" i="6"/>
  <c r="O444" i="6"/>
  <c r="O458" i="6"/>
  <c r="O454" i="6"/>
  <c r="O450" i="6"/>
  <c r="O446" i="6"/>
  <c r="O465" i="6"/>
  <c r="P462" i="6"/>
  <c r="O461" i="6"/>
  <c r="P458" i="6"/>
  <c r="O457" i="6"/>
  <c r="P454" i="6"/>
  <c r="O453" i="6"/>
  <c r="P450" i="6"/>
  <c r="O449" i="6"/>
  <c r="P446" i="6"/>
  <c r="O445" i="6"/>
  <c r="P463" i="6"/>
  <c r="Q437" i="6"/>
  <c r="Q438" i="6"/>
  <c r="Q435" i="6"/>
  <c r="O438" i="6"/>
  <c r="O435" i="6"/>
  <c r="P438" i="6"/>
  <c r="P435" i="6"/>
  <c r="P437" i="6"/>
  <c r="O437" i="6"/>
  <c r="P407" i="6"/>
  <c r="O406" i="6"/>
  <c r="P409" i="6"/>
  <c r="O407" i="6"/>
  <c r="P404" i="6"/>
  <c r="P406" i="6"/>
  <c r="O409" i="6"/>
  <c r="P405" i="6"/>
  <c r="O404" i="6"/>
  <c r="O405" i="6"/>
  <c r="Q409" i="6"/>
  <c r="Q404" i="6"/>
  <c r="Q405" i="6"/>
  <c r="Q407" i="6"/>
  <c r="Q406" i="6"/>
  <c r="P401" i="6"/>
  <c r="O400" i="6"/>
  <c r="P397" i="6"/>
  <c r="O396" i="6"/>
  <c r="P402" i="6"/>
  <c r="O401" i="6"/>
  <c r="P398" i="6"/>
  <c r="O397" i="6"/>
  <c r="O402" i="6"/>
  <c r="P399" i="6"/>
  <c r="O398" i="6"/>
  <c r="P395" i="6"/>
  <c r="P400" i="6"/>
  <c r="O399" i="6"/>
  <c r="P396" i="6"/>
  <c r="O395" i="6"/>
  <c r="Q402" i="6"/>
  <c r="Q398" i="6"/>
  <c r="Q399" i="6"/>
  <c r="Q395" i="6"/>
  <c r="Q400" i="6"/>
  <c r="Q396" i="6"/>
  <c r="Q401" i="6"/>
  <c r="Q397" i="6"/>
  <c r="P392" i="6"/>
  <c r="O391" i="6"/>
  <c r="P388" i="6"/>
  <c r="O387" i="6"/>
  <c r="P393" i="6"/>
  <c r="O392" i="6"/>
  <c r="P389" i="6"/>
  <c r="O388" i="6"/>
  <c r="P391" i="6"/>
  <c r="O390" i="6"/>
  <c r="P387" i="6"/>
  <c r="O393" i="6"/>
  <c r="P390" i="6"/>
  <c r="O389" i="6"/>
  <c r="Q393" i="6"/>
  <c r="Q389" i="6"/>
  <c r="Q390" i="6"/>
  <c r="Q392" i="6"/>
  <c r="Q388" i="6"/>
  <c r="Q391" i="6"/>
  <c r="Q387" i="6"/>
  <c r="P373" i="6"/>
  <c r="O372" i="6"/>
  <c r="P369" i="6"/>
  <c r="O368" i="6"/>
  <c r="P365" i="6"/>
  <c r="P368" i="6"/>
  <c r="P374" i="6"/>
  <c r="O373" i="6"/>
  <c r="P370" i="6"/>
  <c r="O369" i="6"/>
  <c r="P366" i="6"/>
  <c r="O365" i="6"/>
  <c r="O374" i="6"/>
  <c r="P371" i="6"/>
  <c r="O370" i="6"/>
  <c r="P367" i="6"/>
  <c r="O366" i="6"/>
  <c r="P372" i="6"/>
  <c r="O371" i="6"/>
  <c r="O367" i="6"/>
  <c r="Q374" i="6"/>
  <c r="Q370" i="6"/>
  <c r="Q366" i="6"/>
  <c r="Q369" i="6"/>
  <c r="Q365" i="6"/>
  <c r="Q371" i="6"/>
  <c r="Q367" i="6"/>
  <c r="Q372" i="6"/>
  <c r="Q368" i="6"/>
  <c r="Q373" i="6"/>
  <c r="P362" i="6"/>
  <c r="O361" i="6"/>
  <c r="P358" i="6"/>
  <c r="O357" i="6"/>
  <c r="P363" i="6"/>
  <c r="O362" i="6"/>
  <c r="P359" i="6"/>
  <c r="O358" i="6"/>
  <c r="O363" i="6"/>
  <c r="P360" i="6"/>
  <c r="O359" i="6"/>
  <c r="P361" i="6"/>
  <c r="O360" i="6"/>
  <c r="P357" i="6"/>
  <c r="Q363" i="6"/>
  <c r="Q359" i="6"/>
  <c r="Q360" i="6"/>
  <c r="Q361" i="6"/>
  <c r="Q357" i="6"/>
  <c r="Q362" i="6"/>
  <c r="Q358" i="6"/>
  <c r="Q324" i="6"/>
  <c r="Q336" i="6"/>
  <c r="Q331" i="6"/>
  <c r="Q328" i="6"/>
  <c r="Q330" i="6"/>
  <c r="Q332" i="6"/>
  <c r="Q329" i="6"/>
  <c r="Q333" i="6"/>
  <c r="Q334" i="6"/>
  <c r="P334" i="6"/>
  <c r="O333" i="6"/>
  <c r="P330" i="6"/>
  <c r="P333" i="6"/>
  <c r="O332" i="6"/>
  <c r="P336" i="6"/>
  <c r="O334" i="6"/>
  <c r="P331" i="6"/>
  <c r="O330" i="6"/>
  <c r="P328" i="6"/>
  <c r="O336" i="6"/>
  <c r="P332" i="6"/>
  <c r="O331" i="6"/>
  <c r="P329" i="6"/>
  <c r="O328" i="6"/>
  <c r="O329" i="6"/>
  <c r="P321" i="6"/>
  <c r="O320" i="6"/>
  <c r="P317" i="6"/>
  <c r="O321" i="6"/>
  <c r="P318" i="6"/>
  <c r="O317" i="6"/>
  <c r="O319" i="6"/>
  <c r="P319" i="6"/>
  <c r="O318" i="6"/>
  <c r="P320" i="6"/>
  <c r="P324" i="6"/>
  <c r="O324" i="6"/>
  <c r="Q318" i="6"/>
  <c r="Q319" i="6"/>
  <c r="Q320" i="6"/>
  <c r="Q321" i="6"/>
  <c r="Q317" i="6"/>
  <c r="P304" i="6"/>
  <c r="O303" i="6"/>
  <c r="P300" i="6"/>
  <c r="O299" i="6"/>
  <c r="P296" i="6"/>
  <c r="O302" i="6"/>
  <c r="P305" i="6"/>
  <c r="O304" i="6"/>
  <c r="P301" i="6"/>
  <c r="O300" i="6"/>
  <c r="P297" i="6"/>
  <c r="O296" i="6"/>
  <c r="P303" i="6"/>
  <c r="P299" i="6"/>
  <c r="O298" i="6"/>
  <c r="O305" i="6"/>
  <c r="P302" i="6"/>
  <c r="O301" i="6"/>
  <c r="P298" i="6"/>
  <c r="O297" i="6"/>
  <c r="Q292" i="6"/>
  <c r="Q305" i="6"/>
  <c r="Q301" i="6"/>
  <c r="Q297" i="6"/>
  <c r="Q300" i="6"/>
  <c r="Q302" i="6"/>
  <c r="Q298" i="6"/>
  <c r="Q304" i="6"/>
  <c r="Q303" i="6"/>
  <c r="Q299" i="6"/>
  <c r="Q296" i="6"/>
  <c r="P292" i="6"/>
  <c r="O292" i="6"/>
  <c r="P275" i="6"/>
  <c r="O274" i="6"/>
  <c r="P271" i="6"/>
  <c r="O270" i="6"/>
  <c r="O275" i="6"/>
  <c r="P272" i="6"/>
  <c r="O271" i="6"/>
  <c r="P273" i="6"/>
  <c r="O272" i="6"/>
  <c r="P269" i="6"/>
  <c r="P274" i="6"/>
  <c r="O273" i="6"/>
  <c r="P270" i="6"/>
  <c r="O269" i="6"/>
  <c r="Q272" i="6"/>
  <c r="Q273" i="6"/>
  <c r="Q269" i="6"/>
  <c r="Q274" i="6"/>
  <c r="Q270" i="6"/>
  <c r="Q275" i="6"/>
  <c r="Q271" i="6"/>
  <c r="Q259" i="6"/>
  <c r="Q255" i="6"/>
  <c r="Q251" i="6"/>
  <c r="Q256" i="6"/>
  <c r="Q252" i="6"/>
  <c r="Q247" i="6"/>
  <c r="Q257" i="6"/>
  <c r="Q253" i="6"/>
  <c r="Q248" i="6"/>
  <c r="Q258" i="6"/>
  <c r="Q254" i="6"/>
  <c r="Q249" i="6"/>
  <c r="P258" i="6"/>
  <c r="O257" i="6"/>
  <c r="P254" i="6"/>
  <c r="O253" i="6"/>
  <c r="P249" i="6"/>
  <c r="O248" i="6"/>
  <c r="P259" i="6"/>
  <c r="O258" i="6"/>
  <c r="P255" i="6"/>
  <c r="O254" i="6"/>
  <c r="P251" i="6"/>
  <c r="O249" i="6"/>
  <c r="O259" i="6"/>
  <c r="P256" i="6"/>
  <c r="O255" i="6"/>
  <c r="P252" i="6"/>
  <c r="O251" i="6"/>
  <c r="P247" i="6"/>
  <c r="P257" i="6"/>
  <c r="O256" i="6"/>
  <c r="P253" i="6"/>
  <c r="O252" i="6"/>
  <c r="P248" i="6"/>
  <c r="O247" i="6"/>
  <c r="Q245" i="6"/>
  <c r="Q240" i="6"/>
  <c r="Q241" i="6"/>
  <c r="Q244" i="6"/>
  <c r="Q239" i="6"/>
  <c r="Q243" i="6"/>
  <c r="Q238" i="6"/>
  <c r="P244" i="6"/>
  <c r="O243" i="6"/>
  <c r="P239" i="6"/>
  <c r="O238" i="6"/>
  <c r="O241" i="6"/>
  <c r="P245" i="6"/>
  <c r="O244" i="6"/>
  <c r="P240" i="6"/>
  <c r="O239" i="6"/>
  <c r="P243" i="6"/>
  <c r="O245" i="6"/>
  <c r="P241" i="6"/>
  <c r="O240" i="6"/>
  <c r="P238" i="6"/>
  <c r="Q228" i="6"/>
  <c r="Q224" i="6"/>
  <c r="Q225" i="6"/>
  <c r="Q226" i="6"/>
  <c r="Q222" i="6"/>
  <c r="Q227" i="6"/>
  <c r="Q223" i="6"/>
  <c r="P227" i="6"/>
  <c r="O226" i="6"/>
  <c r="P223" i="6"/>
  <c r="O222" i="6"/>
  <c r="P226" i="6"/>
  <c r="P228" i="6"/>
  <c r="O227" i="6"/>
  <c r="P224" i="6"/>
  <c r="O223" i="6"/>
  <c r="O228" i="6"/>
  <c r="P225" i="6"/>
  <c r="O224" i="6"/>
  <c r="O225" i="6"/>
  <c r="P222" i="6"/>
  <c r="Q220" i="6"/>
  <c r="Q216" i="6"/>
  <c r="Q212" i="6"/>
  <c r="Q217" i="6"/>
  <c r="Q213" i="6"/>
  <c r="Q209" i="6"/>
  <c r="Q218" i="6"/>
  <c r="Q214" i="6"/>
  <c r="Q210" i="6"/>
  <c r="Q219" i="6"/>
  <c r="Q215" i="6"/>
  <c r="Q211" i="6"/>
  <c r="P219" i="6"/>
  <c r="O218" i="6"/>
  <c r="P215" i="6"/>
  <c r="O214" i="6"/>
  <c r="P211" i="6"/>
  <c r="O210" i="6"/>
  <c r="P220" i="6"/>
  <c r="O219" i="6"/>
  <c r="P216" i="6"/>
  <c r="O215" i="6"/>
  <c r="P212" i="6"/>
  <c r="O211" i="6"/>
  <c r="O217" i="6"/>
  <c r="O213" i="6"/>
  <c r="O220" i="6"/>
  <c r="P217" i="6"/>
  <c r="O216" i="6"/>
  <c r="P213" i="6"/>
  <c r="O212" i="6"/>
  <c r="P209" i="6"/>
  <c r="P218" i="6"/>
  <c r="P214" i="6"/>
  <c r="P210" i="6"/>
  <c r="O209" i="6"/>
  <c r="Q207" i="6"/>
  <c r="Q203" i="6"/>
  <c r="Q199" i="6"/>
  <c r="Q204" i="6"/>
  <c r="Q200" i="6"/>
  <c r="Q205" i="6"/>
  <c r="Q201" i="6"/>
  <c r="Q206" i="6"/>
  <c r="Q202" i="6"/>
  <c r="P206" i="6"/>
  <c r="O205" i="6"/>
  <c r="P202" i="6"/>
  <c r="O201" i="6"/>
  <c r="P207" i="6"/>
  <c r="O206" i="6"/>
  <c r="P203" i="6"/>
  <c r="O202" i="6"/>
  <c r="P199" i="6"/>
  <c r="O207" i="6"/>
  <c r="P204" i="6"/>
  <c r="O203" i="6"/>
  <c r="P200" i="6"/>
  <c r="O199" i="6"/>
  <c r="P205" i="6"/>
  <c r="O204" i="6"/>
  <c r="P201" i="6"/>
  <c r="O200" i="6"/>
  <c r="P192" i="6"/>
  <c r="O191" i="6"/>
  <c r="P193" i="6"/>
  <c r="O192" i="6"/>
  <c r="O193" i="6"/>
  <c r="P190" i="6"/>
  <c r="P191" i="6"/>
  <c r="O190" i="6"/>
  <c r="Q193" i="6"/>
  <c r="Q190" i="6"/>
  <c r="Q191" i="6"/>
  <c r="Q192" i="6"/>
  <c r="O188" i="6"/>
  <c r="P185" i="6"/>
  <c r="O184" i="6"/>
  <c r="P181" i="6"/>
  <c r="O183" i="6"/>
  <c r="P186" i="6"/>
  <c r="O185" i="6"/>
  <c r="P182" i="6"/>
  <c r="O181" i="6"/>
  <c r="P184" i="6"/>
  <c r="P187" i="6"/>
  <c r="O186" i="6"/>
  <c r="P183" i="6"/>
  <c r="O182" i="6"/>
  <c r="P188" i="6"/>
  <c r="O187" i="6"/>
  <c r="Q186" i="6"/>
  <c r="Q182" i="6"/>
  <c r="Q185" i="6"/>
  <c r="Q187" i="6"/>
  <c r="Q183" i="6"/>
  <c r="Q188" i="6"/>
  <c r="Q184" i="6"/>
  <c r="Q181" i="6"/>
  <c r="O180" i="6"/>
  <c r="P180" i="6"/>
  <c r="Q180" i="6"/>
  <c r="P178" i="6"/>
  <c r="O177" i="6"/>
  <c r="P174" i="6"/>
  <c r="O173" i="6"/>
  <c r="P177" i="6"/>
  <c r="O172" i="6"/>
  <c r="P179" i="6"/>
  <c r="O178" i="6"/>
  <c r="P175" i="6"/>
  <c r="O174" i="6"/>
  <c r="O176" i="6"/>
  <c r="O179" i="6"/>
  <c r="P176" i="6"/>
  <c r="O175" i="6"/>
  <c r="P172" i="6"/>
  <c r="P173" i="6"/>
  <c r="Q169" i="6"/>
  <c r="Q179" i="6"/>
  <c r="Q175" i="6"/>
  <c r="Q178" i="6"/>
  <c r="Q176" i="6"/>
  <c r="Q172" i="6"/>
  <c r="Q174" i="6"/>
  <c r="Q177" i="6"/>
  <c r="Q173" i="6"/>
  <c r="O161" i="6"/>
  <c r="P157" i="6"/>
  <c r="O156" i="6"/>
  <c r="P153" i="6"/>
  <c r="O159" i="6"/>
  <c r="O155" i="6"/>
  <c r="P158" i="6"/>
  <c r="O157" i="6"/>
  <c r="P154" i="6"/>
  <c r="O153" i="6"/>
  <c r="P156" i="6"/>
  <c r="P159" i="6"/>
  <c r="O158" i="6"/>
  <c r="P155" i="6"/>
  <c r="O154" i="6"/>
  <c r="P161" i="6"/>
  <c r="Q158" i="6"/>
  <c r="Q154" i="6"/>
  <c r="Q159" i="6"/>
  <c r="Q155" i="6"/>
  <c r="Q157" i="6"/>
  <c r="Q161" i="6"/>
  <c r="Q156" i="6"/>
  <c r="Q153" i="6"/>
  <c r="O151" i="6"/>
  <c r="P149" i="6"/>
  <c r="P150" i="6"/>
  <c r="O149" i="6"/>
  <c r="P151" i="6"/>
  <c r="O150" i="6"/>
  <c r="Q149" i="6"/>
  <c r="Q150" i="6"/>
  <c r="Q151" i="6"/>
  <c r="P148" i="6"/>
  <c r="O147" i="6"/>
  <c r="P144" i="6"/>
  <c r="O143" i="6"/>
  <c r="P146" i="6"/>
  <c r="O145" i="6"/>
  <c r="O146" i="6"/>
  <c r="O148" i="6"/>
  <c r="P145" i="6"/>
  <c r="O144" i="6"/>
  <c r="P147" i="6"/>
  <c r="P143" i="6"/>
  <c r="Q145" i="6"/>
  <c r="Q143" i="6"/>
  <c r="Q146" i="6"/>
  <c r="Q147" i="6"/>
  <c r="Q148" i="6"/>
  <c r="Q144" i="6"/>
  <c r="P136" i="6"/>
  <c r="O135" i="6"/>
  <c r="O134" i="6"/>
  <c r="P137" i="6"/>
  <c r="O136" i="6"/>
  <c r="P133" i="6"/>
  <c r="O137" i="6"/>
  <c r="P134" i="6"/>
  <c r="O133" i="6"/>
  <c r="P135" i="6"/>
  <c r="Q137" i="6"/>
  <c r="Q133" i="6"/>
  <c r="Q134" i="6"/>
  <c r="Q135" i="6"/>
  <c r="Q136" i="6"/>
  <c r="P129" i="6"/>
  <c r="O128" i="6"/>
  <c r="P125" i="6"/>
  <c r="O124" i="6"/>
  <c r="P121" i="6"/>
  <c r="O130" i="6"/>
  <c r="O122" i="6"/>
  <c r="O123" i="6"/>
  <c r="P130" i="6"/>
  <c r="O129" i="6"/>
  <c r="P126" i="6"/>
  <c r="O125" i="6"/>
  <c r="P122" i="6"/>
  <c r="O121" i="6"/>
  <c r="P127" i="6"/>
  <c r="O126" i="6"/>
  <c r="P123" i="6"/>
  <c r="P128" i="6"/>
  <c r="O127" i="6"/>
  <c r="P124" i="6"/>
  <c r="Q130" i="6"/>
  <c r="Q126" i="6"/>
  <c r="Q122" i="6"/>
  <c r="Q127" i="6"/>
  <c r="Q123" i="6"/>
  <c r="Q128" i="6"/>
  <c r="Q124" i="6"/>
  <c r="Q129" i="6"/>
  <c r="Q125" i="6"/>
  <c r="Q121" i="6"/>
  <c r="P118" i="6"/>
  <c r="O117" i="6"/>
  <c r="P114" i="6"/>
  <c r="O112" i="6"/>
  <c r="P117" i="6"/>
  <c r="O111" i="6"/>
  <c r="P119" i="6"/>
  <c r="O118" i="6"/>
  <c r="P115" i="6"/>
  <c r="O114" i="6"/>
  <c r="O116" i="6"/>
  <c r="O119" i="6"/>
  <c r="P116" i="6"/>
  <c r="O115" i="6"/>
  <c r="P111" i="6"/>
  <c r="P112" i="6"/>
  <c r="Q108" i="6"/>
  <c r="Q119" i="6"/>
  <c r="Q115" i="6"/>
  <c r="Q118" i="6"/>
  <c r="Q116" i="6"/>
  <c r="Q111" i="6"/>
  <c r="Q117" i="6"/>
  <c r="Q112" i="6"/>
  <c r="Q114" i="6"/>
  <c r="P108" i="6"/>
  <c r="O108" i="6"/>
  <c r="P103" i="6"/>
  <c r="O102" i="6"/>
  <c r="O101" i="6"/>
  <c r="P104" i="6"/>
  <c r="O103" i="6"/>
  <c r="O104" i="6"/>
  <c r="P101" i="6"/>
  <c r="P102" i="6"/>
  <c r="Q104" i="6"/>
  <c r="Q101" i="6"/>
  <c r="Q103" i="6"/>
  <c r="Q102" i="6"/>
  <c r="Q99" i="6"/>
  <c r="Q95" i="6"/>
  <c r="Q91" i="6"/>
  <c r="Q96" i="6"/>
  <c r="Q92" i="6"/>
  <c r="Q94" i="6"/>
  <c r="Q90" i="6"/>
  <c r="Q97" i="6"/>
  <c r="Q93" i="6"/>
  <c r="Q98" i="6"/>
  <c r="P98" i="6"/>
  <c r="O97" i="6"/>
  <c r="P94" i="6"/>
  <c r="O93" i="6"/>
  <c r="P90" i="6"/>
  <c r="O92" i="6"/>
  <c r="P99" i="6"/>
  <c r="O98" i="6"/>
  <c r="P95" i="6"/>
  <c r="O94" i="6"/>
  <c r="P91" i="6"/>
  <c r="O90" i="6"/>
  <c r="O99" i="6"/>
  <c r="P96" i="6"/>
  <c r="O95" i="6"/>
  <c r="P92" i="6"/>
  <c r="O91" i="6"/>
  <c r="P97" i="6"/>
  <c r="O96" i="6"/>
  <c r="P93" i="6"/>
  <c r="Q88" i="6"/>
  <c r="Q83" i="6"/>
  <c r="Q84" i="6"/>
  <c r="Q85" i="6"/>
  <c r="Q86" i="6"/>
  <c r="P86" i="6"/>
  <c r="O85" i="6"/>
  <c r="P85" i="6"/>
  <c r="O84" i="6"/>
  <c r="P88" i="6"/>
  <c r="O86" i="6"/>
  <c r="P83" i="6"/>
  <c r="O88" i="6"/>
  <c r="P84" i="6"/>
  <c r="O83" i="6"/>
  <c r="W83" i="6" s="1"/>
  <c r="Q44" i="6"/>
  <c r="Q40" i="6"/>
  <c r="Q43" i="6"/>
  <c r="Q41" i="6"/>
  <c r="Q39" i="6"/>
  <c r="Q42" i="6"/>
  <c r="Q38" i="6"/>
  <c r="P43" i="6"/>
  <c r="O42" i="6"/>
  <c r="P39" i="6"/>
  <c r="O38" i="6"/>
  <c r="P42" i="6"/>
  <c r="P44" i="6"/>
  <c r="O43" i="6"/>
  <c r="P40" i="6"/>
  <c r="O39" i="6"/>
  <c r="O41" i="6"/>
  <c r="O44" i="6"/>
  <c r="P41" i="6"/>
  <c r="O40" i="6"/>
  <c r="W40" i="6" s="1"/>
  <c r="P38" i="6"/>
  <c r="Q35" i="6"/>
  <c r="Q31" i="6"/>
  <c r="Q32" i="6"/>
  <c r="Q33" i="6"/>
  <c r="Q34" i="6"/>
  <c r="P34" i="6"/>
  <c r="O33" i="6"/>
  <c r="P33" i="6"/>
  <c r="O32" i="6"/>
  <c r="P35" i="6"/>
  <c r="O34" i="6"/>
  <c r="P31" i="6"/>
  <c r="O35" i="6"/>
  <c r="P32" i="6"/>
  <c r="O31" i="6"/>
  <c r="Q36" i="6"/>
  <c r="P36" i="6"/>
  <c r="O36" i="6"/>
  <c r="Q30" i="6"/>
  <c r="P30" i="6"/>
  <c r="O30" i="6"/>
  <c r="Q562" i="6"/>
  <c r="Q554" i="6"/>
  <c r="P554" i="6"/>
  <c r="O554" i="6"/>
  <c r="Q25" i="6"/>
  <c r="P25" i="6"/>
  <c r="O25" i="6"/>
  <c r="P535" i="6"/>
  <c r="O535" i="6"/>
  <c r="Q535" i="6"/>
  <c r="Q378" i="6"/>
  <c r="P286" i="6"/>
  <c r="O286" i="6"/>
  <c r="Q286" i="6"/>
  <c r="O169" i="6"/>
  <c r="P169" i="6"/>
  <c r="P72" i="6"/>
  <c r="O72" i="6"/>
  <c r="P536" i="6"/>
  <c r="O536" i="6"/>
  <c r="Q537" i="6"/>
  <c r="Q536" i="6"/>
  <c r="P562" i="6"/>
  <c r="O562" i="6"/>
  <c r="Q26" i="6"/>
  <c r="Q466" i="6"/>
  <c r="P57" i="6"/>
  <c r="O57" i="6"/>
  <c r="Q47" i="6"/>
  <c r="Q57" i="6"/>
  <c r="P537" i="6"/>
  <c r="O537" i="6"/>
  <c r="P466" i="6"/>
  <c r="O466" i="6"/>
  <c r="P378" i="6"/>
  <c r="O378" i="6"/>
  <c r="P80" i="6"/>
  <c r="O80" i="6"/>
  <c r="Q80" i="6"/>
  <c r="P26" i="6"/>
  <c r="O26" i="6"/>
  <c r="Q541" i="6"/>
  <c r="P476" i="6"/>
  <c r="O476" i="6"/>
  <c r="Q476" i="6"/>
  <c r="P293" i="6"/>
  <c r="O293" i="6"/>
  <c r="Q293" i="6"/>
  <c r="P283" i="6"/>
  <c r="O283" i="6"/>
  <c r="Q283" i="6"/>
  <c r="P351" i="6"/>
  <c r="P345" i="6"/>
  <c r="O351" i="6"/>
  <c r="O345" i="6"/>
  <c r="Q351" i="6"/>
  <c r="Q345" i="6"/>
  <c r="P47" i="6"/>
  <c r="O47" i="6"/>
  <c r="Q27" i="6"/>
  <c r="P541" i="6"/>
  <c r="O541" i="6"/>
  <c r="Q197" i="6"/>
  <c r="P197" i="6"/>
  <c r="O197" i="6"/>
  <c r="P27" i="6"/>
  <c r="O27" i="6"/>
  <c r="Q534" i="6"/>
  <c r="Q74" i="6"/>
  <c r="P534" i="6"/>
  <c r="O534" i="6"/>
  <c r="P314" i="6"/>
  <c r="O313" i="6"/>
  <c r="P310" i="6"/>
  <c r="O309" i="6"/>
  <c r="P313" i="6"/>
  <c r="O312" i="6"/>
  <c r="O308" i="6"/>
  <c r="O314" i="6"/>
  <c r="P311" i="6"/>
  <c r="O310" i="6"/>
  <c r="P307" i="6"/>
  <c r="P312" i="6"/>
  <c r="O311" i="6"/>
  <c r="P308" i="6"/>
  <c r="O307" i="6"/>
  <c r="P309" i="6"/>
  <c r="Q311" i="6"/>
  <c r="Q307" i="6"/>
  <c r="Q313" i="6"/>
  <c r="Q314" i="6"/>
  <c r="Q312" i="6"/>
  <c r="Q308" i="6"/>
  <c r="Q309" i="6"/>
  <c r="Q310" i="6"/>
  <c r="P74" i="6"/>
  <c r="O74" i="6"/>
  <c r="P131" i="6"/>
  <c r="O131" i="6"/>
  <c r="Q131" i="6"/>
  <c r="O511" i="6"/>
  <c r="P509" i="6"/>
  <c r="O510" i="6"/>
  <c r="P510" i="6"/>
  <c r="O509" i="6"/>
  <c r="P511" i="6"/>
  <c r="Q509" i="6"/>
  <c r="Q510" i="6"/>
  <c r="Q511" i="6"/>
  <c r="Q425" i="6"/>
  <c r="P425" i="6"/>
  <c r="O425" i="6"/>
  <c r="Q262" i="6"/>
  <c r="Q263" i="6"/>
  <c r="Q261" i="6"/>
  <c r="P263" i="6"/>
  <c r="P261" i="6"/>
  <c r="O263" i="6"/>
  <c r="O261" i="6"/>
  <c r="P262" i="6"/>
  <c r="O262" i="6"/>
  <c r="P246" i="6"/>
  <c r="O246" i="6"/>
  <c r="Q246" i="6"/>
  <c r="Q236" i="6"/>
  <c r="Q235" i="6"/>
  <c r="Q234" i="6"/>
  <c r="P235" i="6"/>
  <c r="O234" i="6"/>
  <c r="P234" i="6"/>
  <c r="P236" i="6"/>
  <c r="O235" i="6"/>
  <c r="O236" i="6"/>
  <c r="Q231" i="6"/>
  <c r="Q229" i="6"/>
  <c r="Q230" i="6"/>
  <c r="O230" i="6"/>
  <c r="P231" i="6"/>
  <c r="P229" i="6"/>
  <c r="O231" i="6"/>
  <c r="P230" i="6"/>
  <c r="O229" i="6"/>
  <c r="Q196" i="6"/>
  <c r="P196" i="6"/>
  <c r="O196" i="6"/>
  <c r="P315" i="6"/>
  <c r="O315" i="6"/>
  <c r="Q315" i="6"/>
  <c r="O288" i="6"/>
  <c r="P285" i="6"/>
  <c r="P288" i="6"/>
  <c r="O287" i="6"/>
  <c r="O285" i="6"/>
  <c r="P287" i="6"/>
  <c r="Q287" i="6"/>
  <c r="Q288" i="6"/>
  <c r="Q285" i="6"/>
  <c r="P348" i="6"/>
  <c r="O347" i="6"/>
  <c r="O342" i="6"/>
  <c r="P339" i="6"/>
  <c r="O338" i="6"/>
  <c r="O350" i="6"/>
  <c r="P338" i="6"/>
  <c r="P349" i="6"/>
  <c r="O348" i="6"/>
  <c r="P343" i="6"/>
  <c r="P340" i="6"/>
  <c r="O339" i="6"/>
  <c r="P347" i="6"/>
  <c r="P342" i="6"/>
  <c r="O341" i="6"/>
  <c r="P350" i="6"/>
  <c r="O349" i="6"/>
  <c r="P344" i="6"/>
  <c r="O343" i="6"/>
  <c r="P341" i="6"/>
  <c r="O340" i="6"/>
  <c r="O344" i="6"/>
  <c r="Q349" i="6"/>
  <c r="Q343" i="6"/>
  <c r="Q340" i="6"/>
  <c r="Q339" i="6"/>
  <c r="Q350" i="6"/>
  <c r="Q344" i="6"/>
  <c r="Q341" i="6"/>
  <c r="Q347" i="6"/>
  <c r="Q342" i="6"/>
  <c r="Q338" i="6"/>
  <c r="Q348" i="6"/>
  <c r="O142" i="6"/>
  <c r="P142" i="6"/>
  <c r="Q142" i="6"/>
  <c r="P189" i="6"/>
  <c r="O189" i="6"/>
  <c r="Q189" i="6"/>
  <c r="Q49" i="6"/>
  <c r="Q260" i="6"/>
  <c r="P49" i="6"/>
  <c r="O49" i="6"/>
  <c r="Q81" i="6"/>
  <c r="Q89" i="6"/>
  <c r="O89" i="6"/>
  <c r="P89" i="6"/>
  <c r="P81" i="6"/>
  <c r="O81" i="6"/>
  <c r="P281" i="6"/>
  <c r="O279" i="6"/>
  <c r="O280" i="6"/>
  <c r="P279" i="6"/>
  <c r="O278" i="6"/>
  <c r="O281" i="6"/>
  <c r="P277" i="6"/>
  <c r="P280" i="6"/>
  <c r="P278" i="6"/>
  <c r="O277" i="6"/>
  <c r="Q277" i="6"/>
  <c r="Q281" i="6"/>
  <c r="Q280" i="6"/>
  <c r="Q278" i="6"/>
  <c r="Q279" i="6"/>
  <c r="Q475" i="6"/>
  <c r="P475" i="6"/>
  <c r="O475" i="6"/>
  <c r="P109" i="6"/>
  <c r="O109" i="6"/>
  <c r="Q109" i="6"/>
  <c r="Q221" i="6"/>
  <c r="Q540" i="6"/>
  <c r="P540" i="6"/>
  <c r="O540" i="6"/>
  <c r="P221" i="6"/>
  <c r="O221" i="6"/>
  <c r="P56" i="6"/>
  <c r="O56" i="6"/>
  <c r="Q58" i="6"/>
  <c r="Q56" i="6"/>
  <c r="P58" i="6"/>
  <c r="O58" i="6"/>
  <c r="P260" i="6"/>
  <c r="O260" i="6"/>
  <c r="P384" i="6"/>
  <c r="P385" i="6"/>
  <c r="O384" i="6"/>
  <c r="O385" i="6"/>
  <c r="Q385" i="6"/>
  <c r="Q384" i="6"/>
  <c r="Q412" i="6"/>
  <c r="O412" i="6"/>
  <c r="P412" i="6"/>
  <c r="O326" i="6"/>
  <c r="P325" i="6"/>
  <c r="O325" i="6"/>
  <c r="P326" i="6"/>
  <c r="Q325" i="6"/>
  <c r="Q326" i="6"/>
  <c r="P533" i="6"/>
  <c r="O533" i="6"/>
  <c r="Q533" i="6"/>
  <c r="Q520" i="6"/>
  <c r="P520" i="6"/>
  <c r="O520" i="6"/>
  <c r="Q542" i="6"/>
  <c r="P542" i="6"/>
  <c r="O542" i="6"/>
  <c r="Q441" i="6"/>
  <c r="Q442" i="6"/>
  <c r="O442" i="6"/>
  <c r="P441" i="6"/>
  <c r="P442" i="6"/>
  <c r="O441" i="6"/>
  <c r="P266" i="6"/>
  <c r="P267" i="6"/>
  <c r="O266" i="6"/>
  <c r="O267" i="6"/>
  <c r="Q267" i="6"/>
  <c r="Q266" i="6"/>
  <c r="P381" i="6"/>
  <c r="O380" i="6"/>
  <c r="O377" i="6"/>
  <c r="O381" i="6"/>
  <c r="P379" i="6"/>
  <c r="P376" i="6"/>
  <c r="P380" i="6"/>
  <c r="O379" i="6"/>
  <c r="P377" i="6"/>
  <c r="O376" i="6"/>
  <c r="Q379" i="6"/>
  <c r="Q376" i="6"/>
  <c r="Q380" i="6"/>
  <c r="Q377" i="6"/>
  <c r="Q381" i="6"/>
  <c r="P356" i="6"/>
  <c r="O356" i="6"/>
  <c r="Q356" i="6"/>
  <c r="O355" i="6"/>
  <c r="P354" i="6"/>
  <c r="P355" i="6"/>
  <c r="O354" i="6"/>
  <c r="Q354" i="6"/>
  <c r="Q355" i="6"/>
  <c r="O163" i="6"/>
  <c r="P163" i="6"/>
  <c r="P165" i="6"/>
  <c r="O165" i="6"/>
  <c r="Q165" i="6"/>
  <c r="Q163" i="6"/>
  <c r="Q140" i="6"/>
  <c r="Q141" i="6"/>
  <c r="P140" i="6"/>
  <c r="P141" i="6"/>
  <c r="O140" i="6"/>
  <c r="O141" i="6"/>
  <c r="Q477" i="6"/>
  <c r="P477" i="6"/>
  <c r="O477" i="6"/>
  <c r="P295" i="6"/>
  <c r="O295" i="6"/>
  <c r="Q295" i="6"/>
  <c r="O294" i="6"/>
  <c r="P291" i="6"/>
  <c r="P294" i="6"/>
  <c r="O291" i="6"/>
  <c r="Q291" i="6"/>
  <c r="Q294" i="6"/>
  <c r="Q107" i="6"/>
  <c r="P107" i="6"/>
  <c r="O107" i="6"/>
  <c r="P171" i="6"/>
  <c r="O171" i="6"/>
  <c r="Q171" i="6"/>
  <c r="P170" i="6"/>
  <c r="O170" i="6"/>
  <c r="Q170" i="6"/>
  <c r="P75" i="6"/>
  <c r="O73" i="6"/>
  <c r="P76" i="6"/>
  <c r="O75" i="6"/>
  <c r="O76" i="6"/>
  <c r="P73" i="6"/>
  <c r="Q76" i="6"/>
  <c r="Q75" i="6"/>
  <c r="Q73" i="6"/>
  <c r="O70" i="6"/>
  <c r="P67" i="6"/>
  <c r="O66" i="6"/>
  <c r="P64" i="6"/>
  <c r="O63" i="6"/>
  <c r="P61" i="6"/>
  <c r="O60" i="6"/>
  <c r="P68" i="6"/>
  <c r="O67" i="6"/>
  <c r="P65" i="6"/>
  <c r="O64" i="6"/>
  <c r="O61" i="6"/>
  <c r="P60" i="6"/>
  <c r="O59" i="6"/>
  <c r="O68" i="6"/>
  <c r="O65" i="6"/>
  <c r="P62" i="6"/>
  <c r="P59" i="6"/>
  <c r="P70" i="6"/>
  <c r="P66" i="6"/>
  <c r="P63" i="6"/>
  <c r="O62" i="6"/>
  <c r="Q68" i="6"/>
  <c r="Q65" i="6"/>
  <c r="Q61" i="6"/>
  <c r="Q62" i="6"/>
  <c r="Q59" i="6"/>
  <c r="Q70" i="6"/>
  <c r="Q66" i="6"/>
  <c r="Q63" i="6"/>
  <c r="Q60" i="6"/>
  <c r="Q67" i="6"/>
  <c r="Q64" i="6"/>
  <c r="Q53" i="6"/>
  <c r="Q52" i="6"/>
  <c r="Q54" i="6"/>
  <c r="Q55" i="6"/>
  <c r="Q51" i="6"/>
  <c r="P55" i="6"/>
  <c r="P52" i="6"/>
  <c r="O51" i="6"/>
  <c r="P51" i="6"/>
  <c r="O55" i="6"/>
  <c r="W55" i="6" s="1"/>
  <c r="P53" i="6"/>
  <c r="O52" i="6"/>
  <c r="O54" i="6"/>
  <c r="P54" i="6"/>
  <c r="O53" i="6"/>
  <c r="P48" i="6"/>
  <c r="O48" i="6"/>
  <c r="Q48" i="6"/>
  <c r="Q23" i="6"/>
  <c r="Q24" i="6"/>
  <c r="Q22" i="6"/>
  <c r="Q29" i="6"/>
  <c r="P29" i="6"/>
  <c r="O22" i="6"/>
  <c r="P24" i="6"/>
  <c r="O23" i="6"/>
  <c r="O24" i="6"/>
  <c r="P22" i="6"/>
  <c r="O29" i="6"/>
  <c r="P23" i="6"/>
  <c r="Q386" i="6"/>
  <c r="P386" i="6"/>
  <c r="O386" i="6"/>
  <c r="Q403" i="6"/>
  <c r="P403" i="6"/>
  <c r="O403" i="6"/>
  <c r="Q110" i="6"/>
  <c r="P110" i="6"/>
  <c r="O110" i="6"/>
  <c r="Q208" i="6"/>
  <c r="B5" i="40"/>
  <c r="Q487" i="6"/>
  <c r="P208" i="6"/>
  <c r="O208" i="6"/>
  <c r="Q82" i="6"/>
  <c r="P82" i="6"/>
  <c r="O82" i="6"/>
  <c r="Q19" i="6"/>
  <c r="P19" i="6"/>
  <c r="O19" i="6"/>
  <c r="P487" i="6"/>
  <c r="O487" i="6"/>
  <c r="P413" i="6"/>
  <c r="O413" i="6"/>
  <c r="Q413" i="6"/>
  <c r="Q71" i="6"/>
  <c r="P71" i="6"/>
  <c r="O71" i="6"/>
  <c r="Q443" i="6"/>
  <c r="P443" i="6"/>
  <c r="O443" i="6"/>
  <c r="P120" i="6"/>
  <c r="O120" i="6"/>
  <c r="Q120" i="6"/>
  <c r="Q478" i="6"/>
  <c r="P478" i="6"/>
  <c r="O478" i="6"/>
  <c r="P152" i="6"/>
  <c r="O152" i="6"/>
  <c r="Q152" i="6"/>
  <c r="P268" i="6"/>
  <c r="O268" i="6"/>
  <c r="Q268" i="6"/>
  <c r="Q237" i="6"/>
  <c r="P237" i="6"/>
  <c r="O237" i="6"/>
  <c r="P198" i="6"/>
  <c r="Q139" i="6"/>
  <c r="Q167" i="6"/>
  <c r="Q21" i="6"/>
  <c r="O21" i="6"/>
  <c r="P21" i="6"/>
  <c r="Q162" i="6"/>
  <c r="Q18" i="6"/>
  <c r="P18" i="6"/>
  <c r="O18" i="6"/>
  <c r="O195" i="6"/>
  <c r="Q474" i="6"/>
  <c r="O198" i="6"/>
  <c r="Q499" i="6"/>
  <c r="P195" i="6"/>
  <c r="Q106" i="6"/>
  <c r="S8" i="21"/>
  <c r="S10" i="21"/>
  <c r="S12" i="21"/>
  <c r="P532" i="6"/>
  <c r="O508" i="6"/>
  <c r="O532" i="6"/>
  <c r="P512" i="6"/>
  <c r="O512" i="6"/>
  <c r="P508" i="6"/>
  <c r="P50" i="6"/>
  <c r="O46" i="6"/>
  <c r="O50" i="6"/>
  <c r="P46" i="6"/>
  <c r="O265" i="6"/>
  <c r="P265" i="6"/>
  <c r="P284" i="6"/>
  <c r="O284" i="6"/>
  <c r="O276" i="6"/>
  <c r="P276" i="6"/>
  <c r="Q50" i="6"/>
  <c r="Q46" i="6"/>
  <c r="P474" i="6"/>
  <c r="P499" i="6"/>
  <c r="O474" i="6"/>
  <c r="O499" i="6"/>
  <c r="Q375" i="6"/>
  <c r="Q353" i="6"/>
  <c r="Q364" i="6"/>
  <c r="P167" i="6"/>
  <c r="O167" i="6"/>
  <c r="Q316" i="6"/>
  <c r="Q290" i="6"/>
  <c r="Q306" i="6"/>
  <c r="Q346" i="6"/>
  <c r="Q337" i="6"/>
  <c r="Q323" i="6"/>
  <c r="Q327" i="6"/>
  <c r="P383" i="6"/>
  <c r="O394" i="6"/>
  <c r="O383" i="6"/>
  <c r="P394" i="6"/>
  <c r="Q20" i="6"/>
  <c r="Q16" i="6"/>
  <c r="P139" i="6"/>
  <c r="O139" i="6"/>
  <c r="P162" i="6"/>
  <c r="O162" i="6"/>
  <c r="Q198" i="6"/>
  <c r="Q195" i="6"/>
  <c r="P316" i="6"/>
  <c r="O316" i="6"/>
  <c r="P306" i="6"/>
  <c r="P290" i="6"/>
  <c r="O290" i="6"/>
  <c r="O306" i="6"/>
  <c r="O323" i="6"/>
  <c r="O337" i="6"/>
  <c r="O327" i="6"/>
  <c r="P323" i="6"/>
  <c r="P346" i="6"/>
  <c r="O346" i="6"/>
  <c r="P327" i="6"/>
  <c r="P337" i="6"/>
  <c r="S7" i="21"/>
  <c r="S9" i="21"/>
  <c r="S11" i="21"/>
  <c r="S13" i="21"/>
  <c r="Q100" i="6"/>
  <c r="Q78" i="6"/>
  <c r="Q79" i="6"/>
  <c r="Q440" i="6"/>
  <c r="P364" i="6"/>
  <c r="O375" i="6"/>
  <c r="O364" i="6"/>
  <c r="P353" i="6"/>
  <c r="O353" i="6"/>
  <c r="P375" i="6"/>
  <c r="Q434" i="6"/>
  <c r="Q411" i="6"/>
  <c r="O440" i="6"/>
  <c r="P440" i="6"/>
  <c r="P79" i="6"/>
  <c r="P78" i="6"/>
  <c r="O79" i="6"/>
  <c r="P100" i="6"/>
  <c r="O78" i="6"/>
  <c r="O100" i="6"/>
  <c r="Q539" i="6"/>
  <c r="Q543" i="6"/>
  <c r="O20" i="6"/>
  <c r="W20" i="6" s="1"/>
  <c r="O16" i="6"/>
  <c r="P16" i="6"/>
  <c r="P20" i="6"/>
  <c r="Q233" i="6"/>
  <c r="Q265" i="6"/>
  <c r="Q284" i="6"/>
  <c r="Q276" i="6"/>
  <c r="Q394" i="6"/>
  <c r="Q383" i="6"/>
  <c r="Q512" i="6"/>
  <c r="Q532" i="6"/>
  <c r="Q508" i="6"/>
  <c r="P434" i="6"/>
  <c r="P411" i="6"/>
  <c r="O411" i="6"/>
  <c r="O434" i="6"/>
  <c r="O539" i="6"/>
  <c r="P539" i="6"/>
  <c r="P543" i="6"/>
  <c r="O543" i="6"/>
  <c r="O106" i="6"/>
  <c r="P106" i="6"/>
  <c r="O233" i="6"/>
  <c r="P233" i="6"/>
  <c r="W102" i="6" l="1"/>
  <c r="W244" i="6"/>
  <c r="W74" i="6"/>
  <c r="W148" i="6"/>
  <c r="W180" i="6"/>
  <c r="W359" i="6"/>
  <c r="W192" i="6"/>
  <c r="W379" i="6"/>
  <c r="W178" i="6"/>
  <c r="W185" i="6"/>
  <c r="I44" i="8" s="1"/>
  <c r="W239" i="6"/>
  <c r="W253" i="6"/>
  <c r="W319" i="6"/>
  <c r="W360" i="6"/>
  <c r="W67" i="6"/>
  <c r="W63" i="6"/>
  <c r="W65" i="6"/>
  <c r="W89" i="6"/>
  <c r="W158" i="6"/>
  <c r="W193" i="6"/>
  <c r="W296" i="6"/>
  <c r="W304" i="6"/>
  <c r="M24" i="8" s="1"/>
  <c r="W38" i="6"/>
  <c r="W30" i="6"/>
  <c r="W35" i="6"/>
  <c r="W284" i="6"/>
  <c r="W71" i="6"/>
  <c r="W16" i="6"/>
  <c r="W167" i="6"/>
  <c r="I8" i="8"/>
  <c r="M44" i="8"/>
  <c r="W78" i="6"/>
  <c r="I42" i="8"/>
  <c r="S14" i="21"/>
  <c r="W383" i="6"/>
  <c r="E27" i="8"/>
  <c r="W46" i="6"/>
  <c r="I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</calcChain>
</file>

<file path=xl/sharedStrings.xml><?xml version="1.0" encoding="utf-8"?>
<sst xmlns="http://schemas.openxmlformats.org/spreadsheetml/2006/main" count="4024" uniqueCount="677">
  <si>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</si>
  <si>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</si>
  <si>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</si>
  <si>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</si>
  <si>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</si>
  <si>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</si>
  <si>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</si>
  <si>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</si>
  <si>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</si>
  <si>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</si>
  <si>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</si>
  <si>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</si>
  <si>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</si>
  <si>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</si>
  <si>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</si>
  <si>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</si>
  <si>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</si>
  <si>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</si>
  <si>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</si>
  <si>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</si>
  <si>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</si>
  <si>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</si>
  <si>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</si>
  <si>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</si>
  <si>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</si>
  <si>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</si>
  <si>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</si>
  <si>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</si>
  <si>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</si>
  <si>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</si>
  <si>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</si>
  <si>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</si>
  <si>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</si>
  <si>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</si>
  <si>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</si>
  <si>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</si>
  <si>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</si>
  <si>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</si>
  <si>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</si>
  <si>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</si>
  <si>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</si>
  <si>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</si>
  <si>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</si>
  <si>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</si>
  <si>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</si>
  <si>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</si>
  <si>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</si>
  <si>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</si>
  <si>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</si>
  <si>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</si>
  <si>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</si>
  <si>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</si>
  <si>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</si>
  <si>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</si>
  <si>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</si>
  <si>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</si>
  <si>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</si>
  <si>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</si>
  <si>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</si>
  <si>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</si>
  <si>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</si>
  <si>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</si>
  <si>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</si>
  <si>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</si>
  <si>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</si>
  <si>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</si>
  <si>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</si>
  <si>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</si>
  <si>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</si>
  <si>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</si>
  <si>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</si>
  <si>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</si>
  <si>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</si>
  <si>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</si>
  <si>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</si>
  <si>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</si>
  <si>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</si>
  <si>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</si>
  <si>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</si>
  <si>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</si>
  <si>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</si>
  <si>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</si>
  <si>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</si>
  <si>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</si>
  <si>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</si>
  <si>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</si>
  <si>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</si>
  <si>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</si>
  <si>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</si>
  <si>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</si>
  <si>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</si>
  <si>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</si>
  <si>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</si>
  <si>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</si>
  <si>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</si>
  <si>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</si>
  <si>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</si>
  <si>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</si>
  <si>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</si>
  <si>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</si>
  <si>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</si>
  <si>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</si>
  <si>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</si>
  <si>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</si>
  <si>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</si>
  <si>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</si>
  <si>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</si>
  <si>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</si>
  <si>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</si>
  <si>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</si>
  <si>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</si>
  <si>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</si>
  <si>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</si>
  <si>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</si>
  <si>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</si>
  <si>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</si>
  <si>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</si>
  <si>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</si>
  <si>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</si>
  <si>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</si>
  <si>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</si>
  <si>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</si>
  <si>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</si>
  <si>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</si>
  <si>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</si>
  <si>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</si>
  <si>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</si>
  <si>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</si>
  <si>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</si>
  <si>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</si>
  <si>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</si>
  <si>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</si>
  <si>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</si>
  <si>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</si>
  <si>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</si>
  <si>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</si>
  <si>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</si>
  <si>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</si>
  <si>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</si>
  <si>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Andrej Kramaric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</si>
  <si>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</si>
  <si>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</si>
  <si>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</si>
  <si>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</si>
  <si>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</si>
  <si>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</si>
  <si>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</si>
  <si>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</si>
  <si>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</si>
  <si>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</si>
  <si>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</si>
  <si>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</si>
  <si>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</si>
  <si>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</si>
  <si>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</si>
  <si>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</si>
  <si>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</si>
  <si>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Peter Gulacsi (A)</t>
  </si>
  <si>
    <t>Lukas Hradecky (A)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</si>
  <si>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</si>
  <si>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</si>
  <si>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</si>
  <si>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</si>
  <si>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</si>
  <si>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</si>
  <si>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</si>
  <si>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</si>
  <si>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Benjamin Pavard (A)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</si>
  <si>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</si>
  <si>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</si>
  <si>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</si>
  <si>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</si>
  <si>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</si>
  <si>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</si>
  <si>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</si>
  <si>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</si>
  <si>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</si>
  <si>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</si>
  <si>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</si>
  <si>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</si>
  <si>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Hertha BSC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</si>
  <si>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</si>
  <si>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</si>
  <si>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</si>
  <si>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</si>
  <si>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</si>
  <si>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</si>
  <si>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</si>
  <si>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</si>
  <si>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</si>
  <si>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</si>
  <si>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</si>
  <si>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</si>
  <si>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</si>
  <si>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</si>
  <si>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</si>
  <si>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</si>
  <si>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</si>
  <si>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</si>
  <si>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</si>
  <si>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</si>
  <si>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</si>
  <si>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</si>
  <si>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</si>
  <si>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</si>
  <si>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</si>
  <si>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Tomas Koubek (A)</t>
  </si>
  <si>
    <t>Iago (A)</t>
  </si>
  <si>
    <t>Reece Oxford (A)</t>
  </si>
  <si>
    <t>Ruben Vargas (A)</t>
  </si>
  <si>
    <t>Noah Joel Sarensen Bazee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</si>
  <si>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</si>
  <si>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</si>
  <si>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</si>
  <si>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</si>
  <si>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</si>
  <si>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</si>
  <si>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</si>
  <si>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</si>
  <si>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</si>
  <si>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</si>
  <si>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</si>
  <si>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</si>
  <si>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</si>
  <si>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</si>
  <si>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</si>
  <si>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</si>
  <si>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</si>
  <si>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</si>
  <si>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</si>
  <si>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</si>
  <si>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</si>
  <si>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</si>
  <si>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</si>
  <si>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</si>
  <si>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</si>
  <si>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</si>
  <si>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</si>
  <si>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</si>
  <si>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Leroy Sane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</si>
  <si>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</si>
  <si>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</si>
  <si>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</si>
  <si>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</si>
  <si>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</si>
  <si>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</si>
  <si>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Ermedin Demirovic (A)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</si>
  <si>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</si>
  <si>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</si>
  <si>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</si>
  <si>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</si>
  <si>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</si>
  <si>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</si>
  <si>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</si>
  <si>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</si>
  <si>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</si>
  <si>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</si>
  <si>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Konstantinos Mavropanos (A)</t>
  </si>
  <si>
    <t>Pascal Stenzel</t>
  </si>
  <si>
    <t>Wataru Endo (A)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</si>
  <si>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</si>
  <si>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</si>
  <si>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</si>
  <si>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</si>
  <si>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</si>
  <si>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</si>
  <si>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</si>
  <si>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</si>
  <si>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</si>
  <si>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</si>
  <si>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</si>
  <si>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</si>
  <si>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</si>
  <si>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</si>
  <si>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</si>
  <si>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Josip Stanisic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</si>
  <si>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</si>
  <si>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</si>
  <si>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</si>
  <si>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</si>
  <si>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</si>
  <si>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</si>
  <si>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</si>
  <si>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</si>
  <si>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</si>
  <si>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</si>
  <si>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</si>
  <si>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</si>
  <si>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</si>
  <si>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Jesper Lindström (A)</t>
  </si>
  <si>
    <t>Rafael Borre (A)</t>
  </si>
  <si>
    <t>Odilou Kossounou (A)</t>
  </si>
  <si>
    <t>Kevin Behrens</t>
  </si>
  <si>
    <t>Genki Haraguchi (A)</t>
  </si>
  <si>
    <t>Paul Jaeckel</t>
  </si>
  <si>
    <t>Frederik Rönnow (A)</t>
  </si>
  <si>
    <t>Kouadio Kone (A)</t>
  </si>
  <si>
    <t>Silas Katompa Mvumpa (A)</t>
  </si>
  <si>
    <t>Chris Führich</t>
  </si>
  <si>
    <t>Nikolas Nartey (A)</t>
  </si>
  <si>
    <t>Borna Sosa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</si>
  <si>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</si>
  <si>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</si>
  <si>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</si>
  <si>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</si>
  <si>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</si>
  <si>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</si>
  <si>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</si>
  <si>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</si>
  <si>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</si>
  <si>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</si>
  <si>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</si>
  <si>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</si>
  <si>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</si>
  <si>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</si>
  <si>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</si>
  <si>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</si>
  <si>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</si>
  <si>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</si>
  <si>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</si>
  <si>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Simon Zoller</t>
  </si>
  <si>
    <t>Takuma Asano (A)</t>
  </si>
  <si>
    <t>Milos Pantovic (A)</t>
  </si>
  <si>
    <t>Patrick Osterhage</t>
  </si>
  <si>
    <t>Anthony Losilia (A)</t>
  </si>
  <si>
    <t>Christopher Antwi-Adjei</t>
  </si>
  <si>
    <t>Cristian Gamboa (A)</t>
  </si>
  <si>
    <t>Erhan Masovic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</si>
  <si>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</si>
  <si>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</si>
  <si>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</si>
  <si>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</si>
  <si>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</si>
  <si>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</si>
  <si>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</si>
  <si>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Kristijan Jakic (A)</t>
  </si>
  <si>
    <t>Amine Adli (A)</t>
  </si>
  <si>
    <t>Omar Marmoush (A)</t>
  </si>
  <si>
    <t>Florian Schock</t>
  </si>
  <si>
    <t>Fisnik Asllani</t>
  </si>
  <si>
    <t>Mads Pedersen (A)</t>
  </si>
  <si>
    <t>Mathias Olesen (A)</t>
  </si>
  <si>
    <t>Paul Wanner</t>
  </si>
  <si>
    <t>Andras Schäfer (A)</t>
  </si>
  <si>
    <t>Jeff Chabot</t>
  </si>
  <si>
    <t>Kevin Paredes (A)</t>
  </si>
  <si>
    <t>Jonas Wind (A)</t>
  </si>
  <si>
    <t>Sardar Azmoun (A)</t>
  </si>
  <si>
    <t>Tiago Tomas (A)</t>
  </si>
  <si>
    <t>Bochum</t>
  </si>
  <si>
    <t>Eniss Shabani</t>
  </si>
  <si>
    <t>Marcel Lotka</t>
  </si>
  <si>
    <t>Bremen - erzielte Tore</t>
  </si>
  <si>
    <t>Bremen - Gegentore</t>
  </si>
  <si>
    <t>Bremen</t>
  </si>
  <si>
    <t>Schalke</t>
  </si>
  <si>
    <t>SV Werder Bremen</t>
  </si>
  <si>
    <t>Matthijs de Ligt (A)</t>
  </si>
  <si>
    <t>Noussair Mazraoui (A)</t>
  </si>
  <si>
    <t>Ryan Gravenberch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</si>
  <si>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</si>
  <si>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</si>
  <si>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</si>
  <si>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</si>
  <si>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</si>
  <si>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</si>
  <si>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Adam Hlousek (A)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</si>
  <si>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</si>
  <si>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</si>
  <si>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</si>
  <si>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</si>
  <si>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</si>
  <si>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</si>
  <si>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</si>
  <si>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Ritsu Doan (A)</t>
  </si>
  <si>
    <t>Eric Martel</t>
  </si>
  <si>
    <t>Kristian Pedersen (A)</t>
  </si>
  <si>
    <t>Denis Huseinbasic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</si>
  <si>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</si>
  <si>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</si>
  <si>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</si>
  <si>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</si>
  <si>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</si>
  <si>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</si>
  <si>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</si>
  <si>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</si>
  <si>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</si>
  <si>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Oscar Fraulo (A)</t>
  </si>
  <si>
    <t>Yvandro Borges Sanches (A)</t>
  </si>
  <si>
    <t>Hrvoje Smolcic (A)</t>
  </si>
  <si>
    <t>Aurelio Buta (A)</t>
  </si>
  <si>
    <t>Mario Götze</t>
  </si>
  <si>
    <t>Marcel Wenig</t>
  </si>
  <si>
    <t>Mehdi Loune</t>
  </si>
  <si>
    <t>Randal Kolo Muani (A)</t>
  </si>
  <si>
    <t>Faride Alidou</t>
  </si>
  <si>
    <t>Kilian Fischer</t>
  </si>
  <si>
    <t>Jakub Kaminski (A)</t>
  </si>
  <si>
    <t>Mattias Svanberg (A)</t>
  </si>
  <si>
    <t>Bartol Franjic (A)</t>
  </si>
  <si>
    <t>Dzenan Pejcinovic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</si>
  <si>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</si>
  <si>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</si>
  <si>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</si>
  <si>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</si>
  <si>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</si>
  <si>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</si>
  <si>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</si>
  <si>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</si>
  <si>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Alex Kral (A)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</si>
  <si>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</si>
  <si>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</si>
  <si>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</si>
  <si>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</si>
  <si>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</si>
  <si>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</si>
  <si>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Milos Veljkovic (A)</t>
  </si>
  <si>
    <t>Felix Agu</t>
  </si>
  <si>
    <t>Marco Friedl (A)</t>
  </si>
  <si>
    <t>Christian Gross</t>
  </si>
  <si>
    <t>Fabio Chiarodia</t>
  </si>
  <si>
    <t>Jens Stage (A)</t>
  </si>
  <si>
    <t>Leonardo Bittencourt</t>
  </si>
  <si>
    <t>Dikeni Salifou (A)</t>
  </si>
  <si>
    <t>Romano Schmid (A)</t>
  </si>
  <si>
    <t>Ilia Gruev</t>
  </si>
  <si>
    <t>Manuel Mbom</t>
  </si>
  <si>
    <t>Marvin Ducksch</t>
  </si>
  <si>
    <t>Niclas Füllkrug</t>
  </si>
  <si>
    <t>Eren Sami Dinkci</t>
  </si>
  <si>
    <t>Stanley Nsoki (A)</t>
  </si>
  <si>
    <t>Timo Werner</t>
  </si>
  <si>
    <t>Merlin Röhl</t>
  </si>
  <si>
    <t>Eric Junior Dina Ebimbe (A)</t>
  </si>
  <si>
    <t>Muhammed Damar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</si>
  <si>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</si>
  <si>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</si>
  <si>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</si>
  <si>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</si>
  <si>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</si>
  <si>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</si>
  <si>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</si>
  <si>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</si>
  <si>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</si>
  <si>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</si>
  <si>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Arijon Ibrahimovic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</si>
  <si>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</si>
  <si>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</si>
  <si>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</si>
  <si>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</si>
  <si>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</si>
  <si>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</si>
  <si>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</si>
  <si>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</si>
  <si>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</si>
  <si>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Patrick Penz (A)</t>
  </si>
  <si>
    <t>Aissa Laidouni (A)</t>
  </si>
  <si>
    <t>Ludovic Ajorque (A)</t>
  </si>
  <si>
    <t>Nicolas Cozza (A)</t>
  </si>
  <si>
    <t>Lukas Ambros (A)</t>
  </si>
  <si>
    <t>Vincenzo Grifo</t>
  </si>
  <si>
    <t>Brajan Gruda</t>
  </si>
  <si>
    <t>John Anthony Brooks</t>
  </si>
  <si>
    <t>Umut Tohumcu</t>
  </si>
  <si>
    <t>Semir Telalovic</t>
  </si>
  <si>
    <t>Philipp Max</t>
  </si>
  <si>
    <t>Nathanael Mbuku (A)</t>
  </si>
  <si>
    <t>Gil Dias (A)</t>
  </si>
  <si>
    <t>Caden Clark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</si>
  <si>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</si>
  <si>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</si>
  <si>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</si>
  <si>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</si>
  <si>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</si>
  <si>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</si>
  <si>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</si>
  <si>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</si>
  <si>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</si>
  <si>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</si>
  <si>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</si>
  <si>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</si>
  <si>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</si>
  <si>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Gabriel Vidovic</t>
  </si>
  <si>
    <t>Thorgan Hazard (A)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</si>
  <si>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</si>
  <si>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</si>
  <si>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</si>
  <si>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</si>
  <si>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</si>
  <si>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</si>
  <si>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</si>
  <si>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</si>
  <si>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Lois Openda (A)</t>
  </si>
  <si>
    <t>Benjamin Sesko (A)</t>
  </si>
  <si>
    <t>Hugo Novoa (A)</t>
  </si>
  <si>
    <t>Yannic Stein</t>
  </si>
  <si>
    <t>Mathis Bruns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</si>
  <si>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</si>
  <si>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</si>
  <si>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</si>
  <si>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</si>
  <si>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</si>
  <si>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</si>
  <si>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</si>
  <si>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</si>
  <si>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</si>
  <si>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</si>
  <si>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</si>
  <si>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</si>
  <si>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</si>
  <si>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</si>
  <si>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</si>
  <si>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</si>
  <si>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</si>
  <si>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</si>
  <si>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</si>
  <si>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</si>
  <si>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</si>
  <si>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</si>
  <si>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</si>
  <si>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</si>
  <si>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Igor Matanovic (A)</t>
  </si>
  <si>
    <t>Noel Futkeu</t>
  </si>
  <si>
    <t>Nnamdi Collins</t>
  </si>
  <si>
    <t>Rogerio (A)</t>
  </si>
  <si>
    <t>Moritz Jenz (A)</t>
  </si>
  <si>
    <t>Cedric Zesiger (A)</t>
  </si>
  <si>
    <t>Aster Vranckx (A)</t>
  </si>
  <si>
    <t>Vaclav Cerny (A)</t>
  </si>
  <si>
    <t>Ulysses Llanez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</si>
  <si>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</si>
  <si>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</si>
  <si>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</si>
  <si>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</si>
  <si>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</si>
  <si>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</si>
  <si>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</si>
  <si>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</si>
  <si>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</si>
  <si>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</si>
  <si>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Tomas Cvancara (A)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</si>
  <si>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</si>
  <si>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</si>
  <si>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</si>
  <si>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</si>
  <si>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</si>
  <si>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</si>
  <si>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</si>
  <si>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</si>
  <si>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</si>
  <si>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</si>
  <si>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</si>
  <si>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</si>
  <si>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</si>
  <si>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Diadie Samassekou (A)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</si>
  <si>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</si>
  <si>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</si>
  <si>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</si>
  <si>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</si>
  <si>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</si>
  <si>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</si>
  <si>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</si>
  <si>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</si>
  <si>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Oliver Burke (A)</t>
  </si>
  <si>
    <t>Nick Woltemade</t>
  </si>
  <si>
    <t>Nicklas Thiede</t>
  </si>
  <si>
    <t>Noah Loosli (A)</t>
  </si>
  <si>
    <t>Bernardo (A)</t>
  </si>
  <si>
    <t>Felix Passlack</t>
  </si>
  <si>
    <t>Matus Bero (A)</t>
  </si>
  <si>
    <t>Lukas Daschner</t>
  </si>
  <si>
    <t>Moritz Kwarteng</t>
  </si>
  <si>
    <t>Marcel Lubik (A)</t>
  </si>
  <si>
    <t>Patric Pfeiffer</t>
  </si>
  <si>
    <t xml:space="preserve">Jozo Stanic </t>
  </si>
  <si>
    <t>Frederik Winther (A)</t>
  </si>
  <si>
    <t>Raphael Framberger</t>
  </si>
  <si>
    <t>David Colina (A)</t>
  </si>
  <si>
    <t>Masaya Okugawa (A)</t>
  </si>
  <si>
    <t>Tim Breithaupt</t>
  </si>
  <si>
    <t>Mert Kömür</t>
  </si>
  <si>
    <t>Dion Beljo (A)</t>
  </si>
  <si>
    <t>Mergin Berisha</t>
  </si>
  <si>
    <t>Sven Michel</t>
  </si>
  <si>
    <t>Phillip Tietz</t>
  </si>
  <si>
    <t>Alexander Nübel</t>
  </si>
  <si>
    <t>Dennis Seimen</t>
  </si>
  <si>
    <t>Wooyeong Jeong (A)</t>
  </si>
  <si>
    <t>Momo Cisse (A)</t>
  </si>
  <si>
    <t>Roberto Massimo</t>
  </si>
  <si>
    <t>Clinton Mola (A)</t>
  </si>
  <si>
    <t>Jamie Leweling</t>
  </si>
  <si>
    <t>Jovan Milosevic (A)</t>
  </si>
  <si>
    <t>Luca Pfeifer</t>
  </si>
  <si>
    <t>Deniz Undav</t>
  </si>
  <si>
    <t>Mohamed Sankoh (A)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</si>
  <si>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</si>
  <si>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</si>
  <si>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</si>
  <si>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</si>
  <si>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</si>
  <si>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</si>
  <si>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</si>
  <si>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</si>
  <si>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Omar Haktab Traore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</si>
  <si>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</si>
  <si>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</si>
  <si>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</si>
  <si>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</si>
  <si>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</si>
  <si>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</si>
  <si>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</si>
  <si>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</si>
  <si>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</si>
  <si>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Tim Köther</t>
  </si>
  <si>
    <t>Melvin Ramusovic</t>
  </si>
  <si>
    <t>Lennard Maloney</t>
  </si>
  <si>
    <t>Luka Janes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</si>
  <si>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</si>
  <si>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</si>
  <si>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</si>
  <si>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</si>
  <si>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</si>
  <si>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</si>
  <si>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</si>
  <si>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</si>
  <si>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</si>
  <si>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</si>
  <si>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</si>
  <si>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</si>
  <si>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</si>
  <si>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</si>
  <si>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</si>
  <si>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</si>
  <si>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</si>
  <si>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</si>
  <si>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</si>
  <si>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</si>
  <si>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</si>
  <si>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Nemanja Celic (A)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</si>
  <si>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</si>
  <si>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</si>
  <si>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</si>
  <si>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</si>
  <si>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</si>
  <si>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</si>
  <si>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</si>
  <si>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</si>
  <si>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</si>
  <si>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</si>
  <si>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</si>
  <si>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</si>
  <si>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</si>
  <si>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</si>
  <si>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</si>
  <si>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</si>
  <si>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</si>
  <si>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</si>
  <si>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</si>
  <si>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</si>
  <si>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</si>
  <si>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</si>
  <si>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</si>
  <si>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Luis Hartwig</t>
  </si>
  <si>
    <t>Tom Hülsmann</t>
  </si>
  <si>
    <t>Matej Kovar (A)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</si>
  <si>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</si>
  <si>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</si>
  <si>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</si>
  <si>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</si>
  <si>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</si>
  <si>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</si>
  <si>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</si>
  <si>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</si>
  <si>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Rogerio wird nicht gewertet, da falsche</t>
  </si>
  <si>
    <t>Position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</si>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</sst>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>
        <row r="5">
          <cell r="A5" t="str">
            <v>Bremen</v>
          </cell>
          <cell r="B5" t="str">
            <v>München</v>
          </cell>
          <cell r="D5">
            <v>0</v>
          </cell>
          <cell r="E5">
            <v>4</v>
          </cell>
          <cell r="H5">
            <v>0</v>
          </cell>
          <cell r="I5">
            <v>3</v>
          </cell>
          <cell r="L5">
            <v>1</v>
          </cell>
          <cell r="M5">
            <v>4</v>
          </cell>
          <cell r="P5">
            <v>0</v>
          </cell>
          <cell r="Q5">
            <v>4</v>
          </cell>
          <cell r="T5">
            <v>1</v>
          </cell>
          <cell r="U5">
            <v>4</v>
          </cell>
        </row>
        <row r="6">
          <cell r="A6" t="str">
            <v>Dortmund</v>
          </cell>
          <cell r="B6" t="str">
            <v>Köln</v>
          </cell>
          <cell r="D6">
            <v>2</v>
          </cell>
          <cell r="E6">
            <v>1</v>
          </cell>
          <cell r="H6">
            <v>2</v>
          </cell>
          <cell r="I6">
            <v>0</v>
          </cell>
          <cell r="L6">
            <v>2</v>
          </cell>
          <cell r="M6">
            <v>0</v>
          </cell>
          <cell r="P6">
            <v>2</v>
          </cell>
          <cell r="Q6">
            <v>1</v>
          </cell>
          <cell r="T6">
            <v>2</v>
          </cell>
          <cell r="U6">
            <v>0</v>
          </cell>
        </row>
        <row r="7">
          <cell r="A7" t="str">
            <v>Union Berlin</v>
          </cell>
          <cell r="B7" t="str">
            <v>Mainz</v>
          </cell>
          <cell r="D7">
            <v>2</v>
          </cell>
          <cell r="E7">
            <v>0</v>
          </cell>
          <cell r="H7">
            <v>2</v>
          </cell>
          <cell r="I7">
            <v>1</v>
          </cell>
          <cell r="L7">
            <v>2</v>
          </cell>
          <cell r="M7">
            <v>1</v>
          </cell>
          <cell r="P7">
            <v>2</v>
          </cell>
          <cell r="Q7">
            <v>0</v>
          </cell>
          <cell r="T7">
            <v>2</v>
          </cell>
          <cell r="U7">
            <v>1</v>
          </cell>
        </row>
        <row r="8">
          <cell r="A8" t="str">
            <v>Leverkusen</v>
          </cell>
          <cell r="B8" t="str">
            <v>Leipzig</v>
          </cell>
          <cell r="D8">
            <v>2</v>
          </cell>
          <cell r="E8">
            <v>2</v>
          </cell>
          <cell r="H8">
            <v>1</v>
          </cell>
          <cell r="I8">
            <v>1</v>
          </cell>
          <cell r="L8">
            <v>2</v>
          </cell>
          <cell r="M8">
            <v>2</v>
          </cell>
          <cell r="P8">
            <v>2</v>
          </cell>
          <cell r="Q8">
            <v>2</v>
          </cell>
          <cell r="T8">
            <v>2</v>
          </cell>
          <cell r="U8">
            <v>2</v>
          </cell>
        </row>
        <row r="9">
          <cell r="A9" t="str">
            <v>Frankfurt</v>
          </cell>
          <cell r="B9" t="str">
            <v>Darmstadt</v>
          </cell>
          <cell r="D9">
            <v>4</v>
          </cell>
          <cell r="E9">
            <v>1</v>
          </cell>
          <cell r="H9">
            <v>2</v>
          </cell>
          <cell r="I9">
            <v>1</v>
          </cell>
          <cell r="L9">
            <v>3</v>
          </cell>
          <cell r="M9">
            <v>1</v>
          </cell>
          <cell r="P9">
            <v>4</v>
          </cell>
          <cell r="Q9">
            <v>1</v>
          </cell>
          <cell r="T9">
            <v>2</v>
          </cell>
          <cell r="U9">
            <v>0</v>
          </cell>
        </row>
        <row r="10">
          <cell r="A10" t="str">
            <v>Wolfsburg</v>
          </cell>
          <cell r="B10" t="str">
            <v>Heidenheim</v>
          </cell>
          <cell r="D10">
            <v>1</v>
          </cell>
          <cell r="E10">
            <v>1</v>
          </cell>
          <cell r="H10">
            <v>3</v>
          </cell>
          <cell r="I10">
            <v>0</v>
          </cell>
          <cell r="L10">
            <v>2</v>
          </cell>
          <cell r="M10">
            <v>0</v>
          </cell>
          <cell r="P10">
            <v>1</v>
          </cell>
          <cell r="Q10">
            <v>1</v>
          </cell>
          <cell r="T10">
            <v>3</v>
          </cell>
          <cell r="U10">
            <v>0</v>
          </cell>
        </row>
        <row r="11">
          <cell r="A11" t="str">
            <v>Hoffenheim</v>
          </cell>
          <cell r="B11" t="str">
            <v>Freiburg</v>
          </cell>
          <cell r="D11">
            <v>2</v>
          </cell>
          <cell r="E11">
            <v>1</v>
          </cell>
          <cell r="H11">
            <v>1</v>
          </cell>
          <cell r="I11">
            <v>1</v>
          </cell>
          <cell r="L11">
            <v>2</v>
          </cell>
          <cell r="M11">
            <v>1</v>
          </cell>
          <cell r="P11">
            <v>2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Augsburg</v>
          </cell>
          <cell r="B12" t="str">
            <v>M'gladbach</v>
          </cell>
          <cell r="D12">
            <v>1</v>
          </cell>
          <cell r="E12">
            <v>1</v>
          </cell>
          <cell r="H12">
            <v>1</v>
          </cell>
          <cell r="I12">
            <v>1</v>
          </cell>
          <cell r="L12">
            <v>1</v>
          </cell>
          <cell r="M12">
            <v>1</v>
          </cell>
          <cell r="P12">
            <v>1</v>
          </cell>
          <cell r="Q12">
            <v>1</v>
          </cell>
          <cell r="T12">
            <v>1</v>
          </cell>
          <cell r="U12">
            <v>2</v>
          </cell>
        </row>
        <row r="13">
          <cell r="A13" t="str">
            <v>Stuttgart</v>
          </cell>
          <cell r="B13" t="str">
            <v>Bochum</v>
          </cell>
          <cell r="D13">
            <v>3</v>
          </cell>
          <cell r="E13">
            <v>1</v>
          </cell>
          <cell r="H13">
            <v>1</v>
          </cell>
          <cell r="I13">
            <v>1</v>
          </cell>
          <cell r="L13">
            <v>2</v>
          </cell>
          <cell r="M13">
            <v>1</v>
          </cell>
          <cell r="P13">
            <v>3</v>
          </cell>
          <cell r="Q13">
            <v>1</v>
          </cell>
          <cell r="T13">
            <v>2</v>
          </cell>
          <cell r="U13">
            <v>1</v>
          </cell>
        </row>
        <row r="20">
          <cell r="D20">
            <v>1</v>
          </cell>
          <cell r="E20">
            <v>4</v>
          </cell>
          <cell r="H20">
            <v>1</v>
          </cell>
          <cell r="I20">
            <v>3</v>
          </cell>
          <cell r="L20">
            <v>1</v>
          </cell>
          <cell r="M20">
            <v>3</v>
          </cell>
          <cell r="P20">
            <v>0</v>
          </cell>
          <cell r="Q20">
            <v>3</v>
          </cell>
        </row>
        <row r="21">
          <cell r="D21">
            <v>2</v>
          </cell>
          <cell r="E21">
            <v>0</v>
          </cell>
          <cell r="H21">
            <v>2</v>
          </cell>
          <cell r="I21">
            <v>0</v>
          </cell>
          <cell r="L21">
            <v>2</v>
          </cell>
          <cell r="M21">
            <v>0</v>
          </cell>
          <cell r="P21">
            <v>2</v>
          </cell>
          <cell r="Q21">
            <v>0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P22">
            <v>2</v>
          </cell>
          <cell r="Q22">
            <v>1</v>
          </cell>
        </row>
        <row r="23">
          <cell r="D23">
            <v>2</v>
          </cell>
          <cell r="E23">
            <v>2</v>
          </cell>
          <cell r="H23">
            <v>2</v>
          </cell>
          <cell r="I23">
            <v>2</v>
          </cell>
          <cell r="L23">
            <v>2</v>
          </cell>
          <cell r="M23">
            <v>1</v>
          </cell>
          <cell r="P23">
            <v>1</v>
          </cell>
          <cell r="Q23">
            <v>1</v>
          </cell>
        </row>
        <row r="24">
          <cell r="D24">
            <v>2</v>
          </cell>
          <cell r="E24">
            <v>0</v>
          </cell>
          <cell r="H24">
            <v>2</v>
          </cell>
          <cell r="I24">
            <v>0</v>
          </cell>
          <cell r="L24">
            <v>2</v>
          </cell>
          <cell r="M24">
            <v>0</v>
          </cell>
          <cell r="P24">
            <v>2</v>
          </cell>
          <cell r="Q24">
            <v>1</v>
          </cell>
        </row>
        <row r="25">
          <cell r="D25">
            <v>3</v>
          </cell>
          <cell r="E25">
            <v>0</v>
          </cell>
          <cell r="H25">
            <v>2</v>
          </cell>
          <cell r="I25">
            <v>0</v>
          </cell>
          <cell r="L25">
            <v>2</v>
          </cell>
          <cell r="M25">
            <v>0</v>
          </cell>
          <cell r="P25">
            <v>3</v>
          </cell>
          <cell r="Q25">
            <v>0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1</v>
          </cell>
          <cell r="M26">
            <v>2</v>
          </cell>
          <cell r="P26">
            <v>1</v>
          </cell>
          <cell r="Q26">
            <v>1</v>
          </cell>
        </row>
        <row r="27">
          <cell r="D27">
            <v>1</v>
          </cell>
          <cell r="E27">
            <v>2</v>
          </cell>
          <cell r="H27">
            <v>1</v>
          </cell>
          <cell r="I27">
            <v>2</v>
          </cell>
          <cell r="L27">
            <v>1</v>
          </cell>
          <cell r="M27">
            <v>1</v>
          </cell>
          <cell r="P27">
            <v>1</v>
          </cell>
          <cell r="Q27">
            <v>1</v>
          </cell>
        </row>
        <row r="28">
          <cell r="D28">
            <v>2</v>
          </cell>
          <cell r="E28">
            <v>1</v>
          </cell>
          <cell r="H28">
            <v>2</v>
          </cell>
          <cell r="I28">
            <v>1</v>
          </cell>
          <cell r="L28">
            <v>1</v>
          </cell>
          <cell r="M28">
            <v>1</v>
          </cell>
          <cell r="P28">
            <v>1</v>
          </cell>
          <cell r="Q28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32</v>
          </cell>
        </row>
      </sheetData>
      <sheetData sheetId="1">
        <row r="3">
          <cell r="B3">
            <v>32</v>
          </cell>
        </row>
      </sheetData>
      <sheetData sheetId="2">
        <row r="3">
          <cell r="B3">
            <v>32</v>
          </cell>
        </row>
      </sheetData>
      <sheetData sheetId="3">
        <row r="3">
          <cell r="B3">
            <v>32</v>
          </cell>
        </row>
      </sheetData>
      <sheetData sheetId="4">
        <row r="3">
          <cell r="B3">
            <v>32</v>
          </cell>
        </row>
      </sheetData>
      <sheetData sheetId="5">
        <row r="3">
          <cell r="B3">
            <v>32</v>
          </cell>
        </row>
      </sheetData>
      <sheetData sheetId="6">
        <row r="3">
          <cell r="B3">
            <v>32</v>
          </cell>
        </row>
      </sheetData>
      <sheetData sheetId="7">
        <row r="3">
          <cell r="B3">
            <v>32</v>
          </cell>
        </row>
      </sheetData>
      <sheetData sheetId="8">
        <row r="3">
          <cell r="B3">
            <v>32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Bremen</v>
      </c>
      <c r="B1" s="2" t="str">
        <f>Auswertung!E1</f>
        <v>München</v>
      </c>
      <c r="C1" s="3">
        <f>Auswertung!I1</f>
        <v>0</v>
      </c>
      <c r="D1" s="4">
        <f>Auswertung!J1</f>
        <v>4</v>
      </c>
    </row>
    <row r="2" spans="1:6" x14ac:dyDescent="0.2">
      <c r="A2" s="1" t="str">
        <f>Auswertung!D2</f>
        <v>Dortmund</v>
      </c>
      <c r="B2" s="2" t="str">
        <f>Auswertung!E2</f>
        <v>Köln</v>
      </c>
      <c r="C2" s="3">
        <f>Auswertung!I2</f>
        <v>1</v>
      </c>
      <c r="D2" s="4">
        <f>Auswertung!J2</f>
        <v>0</v>
      </c>
    </row>
    <row r="3" spans="1:6" x14ac:dyDescent="0.2">
      <c r="A3" s="1" t="str">
        <f>Auswertung!D3</f>
        <v>Union Berlin</v>
      </c>
      <c r="B3" s="2" t="str">
        <f>Auswertung!E3</f>
        <v>Mainz</v>
      </c>
      <c r="C3" s="3">
        <f>Auswertung!I3</f>
        <v>4</v>
      </c>
      <c r="D3" s="4">
        <f>Auswertung!J3</f>
        <v>1</v>
      </c>
    </row>
    <row r="4" spans="1:6" x14ac:dyDescent="0.2">
      <c r="A4" s="1" t="str">
        <f>Auswertung!D4</f>
        <v>Leverkusen</v>
      </c>
      <c r="B4" s="2" t="str">
        <f>Auswertung!E4</f>
        <v>Leipzig</v>
      </c>
      <c r="C4" s="3">
        <f>Auswertung!I4</f>
        <v>3</v>
      </c>
      <c r="D4" s="4">
        <f>Auswertung!J4</f>
        <v>2</v>
      </c>
    </row>
    <row r="5" spans="1:6" x14ac:dyDescent="0.2">
      <c r="A5" s="1" t="str">
        <f>Auswertung!D5</f>
        <v>Frankfurt</v>
      </c>
      <c r="B5" s="2" t="str">
        <f>Auswertung!E5</f>
        <v>Darmstadt</v>
      </c>
      <c r="C5" s="3">
        <f>Auswertung!I5</f>
        <v>1</v>
      </c>
      <c r="D5" s="4">
        <f>Auswertung!J5</f>
        <v>0</v>
      </c>
    </row>
    <row r="6" spans="1:6" x14ac:dyDescent="0.2">
      <c r="A6" s="1" t="str">
        <f>Auswertung!D6</f>
        <v>Wolfsburg</v>
      </c>
      <c r="B6" s="2" t="str">
        <f>Auswertung!E6</f>
        <v>Heidenheim</v>
      </c>
      <c r="C6" s="3">
        <f>Auswertung!I6</f>
        <v>2</v>
      </c>
      <c r="D6" s="4">
        <f>Auswertung!J6</f>
        <v>0</v>
      </c>
    </row>
    <row r="7" spans="1:6" x14ac:dyDescent="0.2">
      <c r="A7" s="1" t="str">
        <f>Auswertung!D7</f>
        <v>Hoffenheim</v>
      </c>
      <c r="B7" s="2" t="str">
        <f>Auswertung!E7</f>
        <v>Freiburg</v>
      </c>
      <c r="C7" s="3">
        <f>Auswertung!I7</f>
        <v>1</v>
      </c>
      <c r="D7" s="4">
        <f>Auswertung!J7</f>
        <v>2</v>
      </c>
    </row>
    <row r="8" spans="1:6" x14ac:dyDescent="0.2">
      <c r="A8" s="1" t="str">
        <f>Auswertung!D8</f>
        <v>Augsburg</v>
      </c>
      <c r="B8" s="2" t="str">
        <f>Auswertung!E8</f>
        <v>M'gladbach</v>
      </c>
      <c r="C8" s="3">
        <f>Auswertung!I8</f>
        <v>4</v>
      </c>
      <c r="D8" s="4">
        <f>Auswertung!J8</f>
        <v>4</v>
      </c>
    </row>
    <row r="9" spans="1:6" x14ac:dyDescent="0.2">
      <c r="A9" s="1" t="str">
        <f>Auswertung!D9</f>
        <v>Stuttgart</v>
      </c>
      <c r="B9" s="2" t="str">
        <f>Auswertung!E9</f>
        <v>Bochum</v>
      </c>
      <c r="C9" s="3">
        <f>Auswertung!I9</f>
        <v>5</v>
      </c>
      <c r="D9" s="4">
        <f>Auswertung!J9</f>
        <v>0</v>
      </c>
    </row>
    <row r="12" spans="1:6" x14ac:dyDescent="0.2">
      <c r="A12" s="6" t="s">
        <v>49</v>
      </c>
      <c r="B12" s="6">
        <f t="shared" ref="B12:B47" si="0">SUM(C12:E12)</f>
        <v>4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4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0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0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352</v>
      </c>
      <c r="B14" s="6">
        <f t="shared" si="0"/>
        <v>0</v>
      </c>
      <c r="C14" s="6">
        <f>IF($A$1="Bremen",$C$1,IF($A$2="Bremen",$C$2,IF($A$3="Bremen",$C$3,IF($A$4="Bremen",$C$4,IF($A$5="Bremen",$C$5,IF($A$6="Bremen",$C$6,IF($A$7="Bremen",$C$7,IF($A$7="Bremen",$C$7,""))))))))</f>
        <v>0</v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353</v>
      </c>
      <c r="B15" s="7">
        <f t="shared" si="0"/>
        <v>4</v>
      </c>
      <c r="C15" s="7">
        <f>IF($A$1="Bremen",$D$1,IF($A$2="Bremen",$D$2,IF($A$3="Bremen",$D$3,IF($A$4="Bremen",$D$4,IF($A$5="Bremen",$D$5,IF($A$6="Bremen",$D$6,IF($A$7="Bremen",$D$7,IF($A$7="Bremen",$D$7,""))))))))</f>
        <v>4</v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1</v>
      </c>
      <c r="C16" s="6">
        <f>IF($A$1="Dortmund",$C$1,IF($A$2="Dortmund",$C$2,IF($A$3="Dortmund",$C$3,IF($A$4="Dortmund",$C$4,IF($A$5="Dortmund",$C$5,IF($A$6="Dortmund",$C$6,IF($A$7="Dortmund",$C$7,IF($A$7="Dortmund",$C$7,""))))))))</f>
        <v>1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>
        <f>IF($A$1="Dortmund",$D$1,IF($A$2="Dortmund",$D$2,IF($A$3="Dortmund",$D$3,IF($A$4="Dortmund",$D$4,IF($A$5="Dortmund",$D$5,IF($A$6="Dortmund",$D$6,IF($A$7="Dortmund",$D$7,IF($A$7="Dortmund",$D$7,""))))))))</f>
        <v>0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3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3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2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2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471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0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472</v>
      </c>
      <c r="B21" s="7">
        <f t="shared" si="0"/>
        <v>1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1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2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2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3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3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278</v>
      </c>
      <c r="B24" s="6">
        <f t="shared" si="0"/>
        <v>0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>
        <f>IF($B$7="Bochum",$D$7,IF($B$8="Bochum",$D$8,IF($B$9="Bochum",$D$9,"")))</f>
        <v>0</v>
      </c>
      <c r="F24" s="6"/>
    </row>
    <row r="25" spans="1:6" ht="13.5" thickBot="1" x14ac:dyDescent="0.25">
      <c r="A25" s="7" t="s">
        <v>279</v>
      </c>
      <c r="B25" s="7">
        <f t="shared" si="0"/>
        <v>5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>
        <f>IF($B$7="Bochum",$C$7,IF($B$8="Bochum",$C$8,IF($B$9="Bochum",$C$9,"")))</f>
        <v>5</v>
      </c>
      <c r="F25" s="6"/>
    </row>
    <row r="26" spans="1:6" x14ac:dyDescent="0.2">
      <c r="A26" s="6" t="s">
        <v>237</v>
      </c>
      <c r="B26" s="6">
        <f t="shared" si="0"/>
        <v>5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5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238</v>
      </c>
      <c r="B27" s="7">
        <f t="shared" si="0"/>
        <v>0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0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2</v>
      </c>
      <c r="C28" s="6">
        <f>IF($A$1="Wolfsburg",$C$1,IF($A$2="Wolfsburg",$C$2,IF($A$3="Wolfsburg",$C$3,IF($A$4="Wolfsburg",$C$4,IF($A$5="Wolfsburg",$C$5,IF($A$6="Wolfsburg",$C$6,IF($A$7="Wolfsburg",$C$7,IF($A$7="Wolfsburg",$C$7,""))))))))</f>
        <v>2</v>
      </c>
      <c r="D28" s="6" t="str">
        <f>IF($A$8="Wolfsburg",$C$8,IF($A$9="Wolfsburg",$C$9,IF($B$1="Wolfsburg",$D$1,IF($B$2="Wolfsburg",$D$2,IF($B$3="Wolfsburg",$D$3,IF($B$4="Wolfsburg",$D$4,IF($B$5="Wolfsburg",$D$5,IF($B$6="Wolfsburg",$D$6,""))))))))</f>
        <v/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0</v>
      </c>
      <c r="C29" s="7">
        <f>IF($A$1="Wolfsburg",$D$1,IF($A$2="Wolfsburg",$D$2,IF($A$3="Wolfsburg",$D$3,IF($A$4="Wolfsburg",$D$4,IF($A$5="Wolfsburg",$D$5,IF($A$6="Wolfsburg",$D$6,IF($A$7="Wolfsburg",$D$7,IF($A$7="Wolfsburg",$D$7,""))))))))</f>
        <v>0</v>
      </c>
      <c r="D29" s="7" t="str">
        <f>IF($A$8="Wolfsburg",$D$8,IF($A$9="Wolfsburg",$D$9,IF($B$1="Wolfsburg",$C$1,IF($B$2="Wolfsburg",$C$2,IF($B$3="Wolfsburg",$C$3,IF($B$4="Wolfsburg",$C$4,IF($B$5="Wolfsburg",$C$5,IF($B$6="Wolfsburg",$C$6,""))))))))</f>
        <v/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1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2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2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186</v>
      </c>
      <c r="B32" s="6">
        <f t="shared" si="0"/>
        <v>4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4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187</v>
      </c>
      <c r="B33" s="7">
        <f t="shared" si="0"/>
        <v>1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1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181</v>
      </c>
      <c r="B34" s="6">
        <f t="shared" si="0"/>
        <v>0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0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182</v>
      </c>
      <c r="B35" s="7">
        <f t="shared" si="0"/>
        <v>1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1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473</v>
      </c>
      <c r="B36" s="6">
        <f t="shared" si="0"/>
        <v>0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0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474</v>
      </c>
      <c r="B37" s="7">
        <f t="shared" si="0"/>
        <v>2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2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4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4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4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4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2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>
        <f>IF($B$7="Freiburg",$D$7,IF($B$8="Freiburg",$D$8,IF($B$9="Freiburg",$D$9,"")))</f>
        <v>2</v>
      </c>
      <c r="F40" s="6"/>
    </row>
    <row r="41" spans="1:6" ht="13.5" thickBot="1" x14ac:dyDescent="0.25">
      <c r="A41" s="167" t="s">
        <v>133</v>
      </c>
      <c r="B41" s="7">
        <f t="shared" si="0"/>
        <v>1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>
        <f>IF($B$7="Freiburg",$C$7,IF($B$8="Freiburg",$C$8,IF($B$9="Freiburg",$C$9,"")))</f>
        <v>1</v>
      </c>
      <c r="F41" s="6"/>
    </row>
    <row r="42" spans="1:6" x14ac:dyDescent="0.2">
      <c r="A42" s="6" t="s">
        <v>104</v>
      </c>
      <c r="B42" s="6">
        <f t="shared" si="0"/>
        <v>1</v>
      </c>
      <c r="C42" s="6">
        <f>IF($A$1="Frankfurt",$C$1,IF($A$2="Frankfurt",$C$2,IF($A$3="Frankfurt",$C$3,IF($A$4="Frankfurt",$C$4,IF($A$5="Frankfurt",$C$5,IF($A$6="Frankfurt",$C$6,IF($A$7="Frankfurt",$C$7,IF($A$7="Frankfurt",$C$7,""))))))))</f>
        <v>1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0</v>
      </c>
      <c r="C43" s="7">
        <f>IF($A$1="Frankfurt",$D$1,IF($A$2="Frankfurt",$D$2,IF($A$3="Frankfurt",$D$3,IF($A$4="Frankfurt",$D$4,IF($A$5="Frankfurt",$D$5,IF($A$6="Frankfurt",$D$6,IF($A$7="Frankfurt",$D$7,IF($A$7="Frankfurt",$D$7,""))))))))</f>
        <v>0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1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4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4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4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>
        <f>IF($B$7="M'gladbach",$D$7,IF($B$8="M'gladbach",$D$8,IF($B$9="M'gladbach",$D$9,"")))</f>
        <v>4</v>
      </c>
      <c r="F46" s="6"/>
    </row>
    <row r="47" spans="1:6" ht="13.5" thickBot="1" x14ac:dyDescent="0.25">
      <c r="A47" s="7" t="s">
        <v>68</v>
      </c>
      <c r="B47" s="7">
        <f t="shared" si="0"/>
        <v>4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>
        <f>IF($B$7="M'gladbach",$C$7,IF($B$8="M'gladbach",$C$8,IF($B$9="M'gladbach",$C$9,"")))</f>
        <v>4</v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2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M39" sqref="M39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477</v>
      </c>
      <c r="U1" s="174" t="s">
        <v>478</v>
      </c>
      <c r="V1" s="174" t="s">
        <v>479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8" si="0">B3</f>
        <v>Manuel Neuer</v>
      </c>
    </row>
    <row r="4" spans="1:28" ht="10.5" customHeight="1" x14ac:dyDescent="0.2">
      <c r="A4" s="177">
        <v>26</v>
      </c>
      <c r="B4" s="178" t="s">
        <v>280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>
        <v>1</v>
      </c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Sven Ulreich</v>
      </c>
    </row>
    <row r="5" spans="1:28" ht="10.5" customHeight="1" x14ac:dyDescent="0.2">
      <c r="A5" s="177">
        <v>43</v>
      </c>
      <c r="B5" s="178" t="s">
        <v>664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Tom Hülsmann</v>
      </c>
    </row>
    <row r="6" spans="1:28" ht="10.5" customHeight="1" x14ac:dyDescent="0.2">
      <c r="A6" s="183">
        <v>2</v>
      </c>
      <c r="B6" s="184" t="s">
        <v>160</v>
      </c>
      <c r="C6" s="185" t="s">
        <v>1</v>
      </c>
      <c r="D6" s="186" t="s">
        <v>59</v>
      </c>
      <c r="E6" s="186" t="s">
        <v>59</v>
      </c>
      <c r="F6" s="187" t="s">
        <v>59</v>
      </c>
      <c r="G6" s="187" t="s">
        <v>59</v>
      </c>
      <c r="H6" s="187"/>
      <c r="I6" s="186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Dayot Upamecano (A)</v>
      </c>
    </row>
    <row r="7" spans="1:28" ht="10.5" customHeight="1" x14ac:dyDescent="0.2">
      <c r="A7" s="183">
        <v>3</v>
      </c>
      <c r="B7" s="184" t="s">
        <v>480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>
        <v>2</v>
      </c>
      <c r="L7" s="182">
        <v>2</v>
      </c>
      <c r="M7" s="182"/>
      <c r="N7" s="182">
        <v>4</v>
      </c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Min-Jae Kim (A)</v>
      </c>
    </row>
    <row r="8" spans="1:28" ht="10.5" customHeight="1" x14ac:dyDescent="0.2">
      <c r="A8" s="183">
        <v>4</v>
      </c>
      <c r="B8" s="184" t="s">
        <v>357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0"/>
        <v>Matthijs de Ligt (A)</v>
      </c>
    </row>
    <row r="9" spans="1:28" ht="10.5" customHeight="1" x14ac:dyDescent="0.2">
      <c r="A9" s="183">
        <v>5</v>
      </c>
      <c r="B9" s="184" t="s">
        <v>167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ref="AB9:AB10" si="1">B9</f>
        <v>Benjamin Pavard (A)</v>
      </c>
    </row>
    <row r="10" spans="1:28" ht="10.5" customHeight="1" x14ac:dyDescent="0.2">
      <c r="A10" s="183">
        <v>19</v>
      </c>
      <c r="B10" s="184" t="s">
        <v>189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1"/>
        <v>Alphonso Davies (A)</v>
      </c>
    </row>
    <row r="11" spans="1:28" ht="10.5" customHeight="1" x14ac:dyDescent="0.2">
      <c r="A11" s="183">
        <v>20</v>
      </c>
      <c r="B11" s="184" t="s">
        <v>266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149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481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358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656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ht="10.5" customHeight="1" x14ac:dyDescent="0.2">
      <c r="A16" s="183">
        <v>44</v>
      </c>
      <c r="B16" s="184" t="s">
        <v>275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Josip Stanisic</v>
      </c>
    </row>
    <row r="17" spans="1:28" s="113" customFormat="1" ht="10.5" customHeight="1" x14ac:dyDescent="0.2">
      <c r="A17" s="188">
        <v>6</v>
      </c>
      <c r="B17" s="189" t="s">
        <v>123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>
        <v>6</v>
      </c>
      <c r="M17" s="182"/>
      <c r="N17" s="182">
        <v>8</v>
      </c>
      <c r="O17" s="182">
        <v>8</v>
      </c>
      <c r="P17" s="182">
        <v>5</v>
      </c>
      <c r="Q17" s="182"/>
      <c r="R17" s="182"/>
      <c r="S17" s="182">
        <v>5</v>
      </c>
      <c r="T17" s="182"/>
      <c r="U17" s="182"/>
      <c r="V17" s="182"/>
      <c r="W17" s="182"/>
      <c r="X17" s="182"/>
      <c r="Y17" s="182"/>
      <c r="Z17" s="172"/>
      <c r="AB17" s="175" t="str">
        <f>B17</f>
        <v>Joshua Kimmich</v>
      </c>
    </row>
    <row r="18" spans="1:28" s="113" customFormat="1" ht="10.5" customHeight="1" x14ac:dyDescent="0.2">
      <c r="A18" s="188">
        <v>8</v>
      </c>
      <c r="B18" s="189" t="s">
        <v>116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>B18</f>
        <v>Leon Goretzka</v>
      </c>
    </row>
    <row r="19" spans="1:28" s="113" customFormat="1" ht="10.5" customHeight="1" x14ac:dyDescent="0.2">
      <c r="A19" s="188">
        <v>14</v>
      </c>
      <c r="B19" s="189" t="s">
        <v>342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:AB20" si="5">B19</f>
        <v>Paul Wanner</v>
      </c>
    </row>
    <row r="20" spans="1:28" s="113" customFormat="1" ht="10.5" customHeight="1" x14ac:dyDescent="0.2">
      <c r="A20" s="188">
        <v>27</v>
      </c>
      <c r="B20" s="189" t="s">
        <v>161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si="5"/>
        <v>Konrad Laimer (A)</v>
      </c>
    </row>
    <row r="21" spans="1:28" s="113" customFormat="1" ht="10.5" customHeight="1" x14ac:dyDescent="0.2">
      <c r="A21" s="188">
        <v>38</v>
      </c>
      <c r="B21" s="189" t="s">
        <v>359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>B21</f>
        <v>Ryan Gravenberch (A)</v>
      </c>
    </row>
    <row r="22" spans="1:28" s="113" customFormat="1" ht="10.5" customHeight="1" x14ac:dyDescent="0.2">
      <c r="A22" s="188">
        <v>42</v>
      </c>
      <c r="B22" s="189" t="s">
        <v>265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>
        <v>5</v>
      </c>
      <c r="L22" s="182"/>
      <c r="M22" s="182">
        <v>5</v>
      </c>
      <c r="N22" s="182"/>
      <c r="O22" s="182"/>
      <c r="P22" s="182"/>
      <c r="Q22" s="182">
        <v>6</v>
      </c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ref="AB22" si="6">B22</f>
        <v>Jamal Musiala</v>
      </c>
    </row>
    <row r="23" spans="1:28" s="113" customFormat="1" ht="10.5" customHeight="1" x14ac:dyDescent="0.2">
      <c r="A23" s="193">
        <v>7</v>
      </c>
      <c r="B23" s="194" t="s">
        <v>164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/>
      <c r="L23" s="182"/>
      <c r="M23" s="182">
        <v>10</v>
      </c>
      <c r="N23" s="182"/>
      <c r="O23" s="182"/>
      <c r="P23" s="182">
        <v>9</v>
      </c>
      <c r="Q23" s="182">
        <v>9</v>
      </c>
      <c r="R23" s="182">
        <v>9</v>
      </c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Serge Gnabry</v>
      </c>
    </row>
    <row r="24" spans="1:28" s="113" customFormat="1" ht="10.5" customHeight="1" x14ac:dyDescent="0.2">
      <c r="A24" s="193">
        <v>9</v>
      </c>
      <c r="B24" s="194" t="s">
        <v>653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>B24</f>
        <v>Harry Kane (A)</v>
      </c>
    </row>
    <row r="25" spans="1:28" s="113" customFormat="1" ht="10.5" customHeight="1" x14ac:dyDescent="0.2">
      <c r="A25" s="193">
        <v>10</v>
      </c>
      <c r="B25" s="194" t="s">
        <v>239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>
        <v>10</v>
      </c>
      <c r="S25" s="182"/>
      <c r="T25" s="182"/>
      <c r="U25" s="182"/>
      <c r="V25" s="182"/>
      <c r="W25" s="182"/>
      <c r="X25" s="182"/>
      <c r="Y25" s="182"/>
      <c r="Z25" s="172"/>
      <c r="AB25" s="175" t="str">
        <f>B25</f>
        <v>Leroy Sane</v>
      </c>
    </row>
    <row r="26" spans="1:28" s="113" customFormat="1" ht="10.5" customHeight="1" x14ac:dyDescent="0.2">
      <c r="A26" s="193">
        <v>11</v>
      </c>
      <c r="B26" s="194" t="s">
        <v>140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ref="AB26:AB27" si="7">B26</f>
        <v>Kingsley Coman (A)</v>
      </c>
    </row>
    <row r="27" spans="1:28" s="113" customFormat="1" ht="10.5" customHeight="1" x14ac:dyDescent="0.2">
      <c r="A27" s="193">
        <v>13</v>
      </c>
      <c r="B27" s="194" t="s">
        <v>267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>
        <v>9</v>
      </c>
      <c r="T27" s="182"/>
      <c r="U27" s="182"/>
      <c r="V27" s="182"/>
      <c r="W27" s="182"/>
      <c r="X27" s="182"/>
      <c r="Y27" s="182"/>
      <c r="Z27" s="172"/>
      <c r="AB27" s="175" t="str">
        <f t="shared" si="7"/>
        <v>Eric-Maxim Choupo-Moting</v>
      </c>
    </row>
    <row r="28" spans="1:28" s="113" customFormat="1" ht="10.5" customHeight="1" x14ac:dyDescent="0.2">
      <c r="A28" s="193">
        <v>25</v>
      </c>
      <c r="B28" s="194" t="s">
        <v>80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72"/>
      <c r="AB28" s="175" t="str">
        <f>B28</f>
        <v>Thomas Müller</v>
      </c>
    </row>
    <row r="29" spans="1:28" s="113" customFormat="1" ht="10.5" customHeight="1" x14ac:dyDescent="0.2">
      <c r="A29" s="193">
        <v>32</v>
      </c>
      <c r="B29" s="194" t="s">
        <v>482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1" si="8">B29</f>
        <v>Gabriel Vidovic</v>
      </c>
    </row>
    <row r="30" spans="1:28" s="113" customFormat="1" ht="10.5" customHeight="1" x14ac:dyDescent="0.2">
      <c r="A30" s="193">
        <v>39</v>
      </c>
      <c r="B30" s="194" t="s">
        <v>360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8"/>
        <v>Mathys Tel (A)</v>
      </c>
    </row>
    <row r="31" spans="1:28" s="113" customFormat="1" ht="10.5" customHeight="1" x14ac:dyDescent="0.2">
      <c r="A31" s="193">
        <v>46</v>
      </c>
      <c r="B31" s="194" t="s">
        <v>445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Arijon Ibrahimovic</v>
      </c>
    </row>
    <row r="32" spans="1:28" ht="15" customHeight="1" thickBot="1" x14ac:dyDescent="0.25">
      <c r="A32" s="219" t="s">
        <v>32</v>
      </c>
      <c r="B32" s="219"/>
      <c r="C32" s="219"/>
      <c r="D32" s="219"/>
      <c r="E32" s="219"/>
      <c r="F32" s="219"/>
      <c r="G32" s="219"/>
      <c r="H32" s="219"/>
      <c r="I32" s="219"/>
      <c r="J32" s="10"/>
      <c r="K32" s="176">
        <v>12</v>
      </c>
      <c r="L32" s="176">
        <v>12</v>
      </c>
      <c r="M32" s="176">
        <v>12</v>
      </c>
      <c r="N32" s="176">
        <v>12</v>
      </c>
      <c r="O32" s="176">
        <v>12</v>
      </c>
      <c r="P32" s="176">
        <v>12</v>
      </c>
      <c r="Q32" s="176">
        <v>12</v>
      </c>
      <c r="R32" s="176">
        <v>12</v>
      </c>
      <c r="S32" s="176">
        <v>12</v>
      </c>
      <c r="T32" s="176">
        <v>12</v>
      </c>
      <c r="U32" s="176">
        <v>12</v>
      </c>
      <c r="V32" s="176">
        <v>12</v>
      </c>
      <c r="W32" s="176">
        <v>12</v>
      </c>
      <c r="X32" s="176">
        <v>12</v>
      </c>
      <c r="Y32" s="176">
        <v>12</v>
      </c>
      <c r="Z32" s="217"/>
      <c r="AB32" s="175" t="str">
        <f>A32</f>
        <v>Borussia Dortmund</v>
      </c>
    </row>
    <row r="33" spans="1:28" s="113" customFormat="1" ht="10.5" customHeight="1" x14ac:dyDescent="0.2">
      <c r="A33" s="177">
        <v>1</v>
      </c>
      <c r="B33" s="178" t="s">
        <v>253</v>
      </c>
      <c r="C33" s="178" t="s">
        <v>0</v>
      </c>
      <c r="D33" s="179" t="s">
        <v>59</v>
      </c>
      <c r="E33" s="179" t="s">
        <v>59</v>
      </c>
      <c r="F33" s="180" t="s">
        <v>59</v>
      </c>
      <c r="G33" s="180" t="s">
        <v>59</v>
      </c>
      <c r="H33" s="180"/>
      <c r="I33" s="179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 t="shared" ref="AB33:AB34" si="9">B33</f>
        <v>Gregor Kobel (A)</v>
      </c>
    </row>
    <row r="34" spans="1:28" s="113" customFormat="1" ht="10.5" customHeight="1" x14ac:dyDescent="0.2">
      <c r="A34" s="177">
        <v>31</v>
      </c>
      <c r="B34" s="178" t="s">
        <v>446</v>
      </c>
      <c r="C34" s="178" t="s">
        <v>0</v>
      </c>
      <c r="D34" s="179" t="s">
        <v>59</v>
      </c>
      <c r="E34" s="179" t="s">
        <v>59</v>
      </c>
      <c r="F34" s="180" t="s">
        <v>59</v>
      </c>
      <c r="G34" s="180" t="s">
        <v>59</v>
      </c>
      <c r="H34" s="180"/>
      <c r="I34" s="179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si="9"/>
        <v>Silas Ostrzinski</v>
      </c>
    </row>
    <row r="35" spans="1:28" s="113" customFormat="1" ht="10.5" customHeight="1" x14ac:dyDescent="0.2">
      <c r="A35" s="177">
        <v>33</v>
      </c>
      <c r="B35" s="178" t="s">
        <v>361</v>
      </c>
      <c r="C35" s="178" t="s">
        <v>0</v>
      </c>
      <c r="D35" s="179" t="s">
        <v>59</v>
      </c>
      <c r="E35" s="179" t="s">
        <v>59</v>
      </c>
      <c r="F35" s="180" t="s">
        <v>59</v>
      </c>
      <c r="G35" s="180" t="s">
        <v>59</v>
      </c>
      <c r="H35" s="180"/>
      <c r="I35" s="179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ref="AB35" si="10">B35</f>
        <v>Alexander Meyer</v>
      </c>
    </row>
    <row r="36" spans="1:28" s="113" customFormat="1" ht="10.5" customHeight="1" x14ac:dyDescent="0.2">
      <c r="A36" s="177">
        <v>35</v>
      </c>
      <c r="B36" s="178" t="s">
        <v>351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" si="11">B36</f>
        <v>Marcel Lotka</v>
      </c>
    </row>
    <row r="37" spans="1:28" s="113" customFormat="1" ht="10.5" customHeight="1" x14ac:dyDescent="0.2">
      <c r="A37" s="198">
        <v>2</v>
      </c>
      <c r="B37" s="199" t="s">
        <v>190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>B37</f>
        <v>Mateu Morey (A)</v>
      </c>
    </row>
    <row r="38" spans="1:28" s="113" customFormat="1" ht="10.5" customHeight="1" x14ac:dyDescent="0.2">
      <c r="A38" s="198">
        <v>4</v>
      </c>
      <c r="B38" s="199" t="s">
        <v>204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>
        <v>2</v>
      </c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:AB44" si="12">B38</f>
        <v>Nico Schlotterbeck</v>
      </c>
    </row>
    <row r="39" spans="1:28" s="113" customFormat="1" ht="10.5" customHeight="1" x14ac:dyDescent="0.2">
      <c r="A39" s="198">
        <v>5</v>
      </c>
      <c r="B39" s="199" t="s">
        <v>223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Ramy Bensebaini (A)</v>
      </c>
    </row>
    <row r="40" spans="1:28" s="113" customFormat="1" ht="10.5" customHeight="1" x14ac:dyDescent="0.2">
      <c r="A40" s="198">
        <v>15</v>
      </c>
      <c r="B40" s="199" t="s">
        <v>60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Mats Hummels</v>
      </c>
    </row>
    <row r="41" spans="1:28" s="113" customFormat="1" ht="10.5" customHeight="1" x14ac:dyDescent="0.2">
      <c r="A41" s="198">
        <v>24</v>
      </c>
      <c r="B41" s="199" t="s">
        <v>240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Thomas Meunier (A)</v>
      </c>
    </row>
    <row r="42" spans="1:28" s="113" customFormat="1" ht="10.5" customHeight="1" x14ac:dyDescent="0.2">
      <c r="A42" s="198">
        <v>25</v>
      </c>
      <c r="B42" s="199" t="s">
        <v>118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>
        <v>4</v>
      </c>
      <c r="L42" s="182">
        <v>4</v>
      </c>
      <c r="M42" s="182"/>
      <c r="N42" s="182">
        <v>2</v>
      </c>
      <c r="O42" s="182">
        <v>3</v>
      </c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2"/>
        <v>Niklas Süle</v>
      </c>
    </row>
    <row r="43" spans="1:28" s="113" customFormat="1" ht="10.5" customHeight="1" x14ac:dyDescent="0.2">
      <c r="A43" s="198">
        <v>26</v>
      </c>
      <c r="B43" s="199" t="s">
        <v>219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2"/>
        <v>Julian Ryerson (A)</v>
      </c>
    </row>
    <row r="44" spans="1:28" s="113" customFormat="1" ht="10.5" customHeight="1" x14ac:dyDescent="0.2">
      <c r="A44" s="198">
        <v>44</v>
      </c>
      <c r="B44" s="199" t="s">
        <v>282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2"/>
        <v>Soumalia Coulibaly (A)</v>
      </c>
    </row>
    <row r="45" spans="1:28" s="113" customFormat="1" ht="10.5" customHeight="1" x14ac:dyDescent="0.2">
      <c r="A45" s="198">
        <v>47</v>
      </c>
      <c r="B45" s="199" t="s">
        <v>441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ref="AB45" si="13">B45</f>
        <v>Antonis Papadopoulos</v>
      </c>
    </row>
    <row r="46" spans="1:28" s="113" customFormat="1" ht="10.5" customHeight="1" x14ac:dyDescent="0.2">
      <c r="A46" s="200">
        <v>6</v>
      </c>
      <c r="B46" s="190" t="s">
        <v>317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ref="AB46:AB57" si="14">B46</f>
        <v>Salih Özcan</v>
      </c>
    </row>
    <row r="47" spans="1:28" s="113" customFormat="1" ht="10.5" customHeight="1" x14ac:dyDescent="0.2">
      <c r="A47" s="200">
        <v>7</v>
      </c>
      <c r="B47" s="190" t="s">
        <v>224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4"/>
        <v>Giovanni Reyna (A)</v>
      </c>
    </row>
    <row r="48" spans="1:28" s="113" customFormat="1" ht="10.5" customHeight="1" x14ac:dyDescent="0.2">
      <c r="A48" s="200">
        <v>8</v>
      </c>
      <c r="B48" s="190" t="s">
        <v>287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4"/>
        <v>Felix Nmecha</v>
      </c>
    </row>
    <row r="49" spans="1:28" s="113" customFormat="1" ht="10.5" customHeight="1" x14ac:dyDescent="0.2">
      <c r="A49" s="200">
        <v>10</v>
      </c>
      <c r="B49" s="190" t="s">
        <v>483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4"/>
        <v>Thorgan Hazard (A)</v>
      </c>
    </row>
    <row r="50" spans="1:28" s="113" customFormat="1" ht="10.5" customHeight="1" x14ac:dyDescent="0.2">
      <c r="A50" s="200">
        <v>11</v>
      </c>
      <c r="B50" s="190" t="s">
        <v>83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>
        <v>6</v>
      </c>
      <c r="N50" s="182">
        <v>5</v>
      </c>
      <c r="O50" s="182">
        <v>6</v>
      </c>
      <c r="P50" s="182">
        <v>7</v>
      </c>
      <c r="Q50" s="182">
        <v>8</v>
      </c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4"/>
        <v>Marco Reus</v>
      </c>
    </row>
    <row r="51" spans="1:28" s="113" customFormat="1" ht="10.5" customHeight="1" x14ac:dyDescent="0.2">
      <c r="A51" s="200">
        <v>17</v>
      </c>
      <c r="B51" s="190" t="s">
        <v>263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si="14"/>
        <v>Marius Wolf</v>
      </c>
    </row>
    <row r="52" spans="1:28" s="113" customFormat="1" ht="10.5" customHeight="1" x14ac:dyDescent="0.2">
      <c r="A52" s="200">
        <v>19</v>
      </c>
      <c r="B52" s="190" t="s">
        <v>121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>
        <v>8</v>
      </c>
      <c r="L52" s="182"/>
      <c r="M52" s="182"/>
      <c r="N52" s="182"/>
      <c r="O52" s="182"/>
      <c r="P52" s="182">
        <v>8</v>
      </c>
      <c r="Q52" s="182">
        <v>7</v>
      </c>
      <c r="R52" s="182">
        <v>8</v>
      </c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4"/>
        <v>Julian Brandt</v>
      </c>
    </row>
    <row r="53" spans="1:28" s="113" customFormat="1" ht="10.5" customHeight="1" x14ac:dyDescent="0.2">
      <c r="A53" s="200">
        <v>20</v>
      </c>
      <c r="B53" s="190" t="s">
        <v>484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4"/>
        <v>Marcel Sabitzer (A)</v>
      </c>
    </row>
    <row r="54" spans="1:28" s="113" customFormat="1" ht="10.5" customHeight="1" x14ac:dyDescent="0.2">
      <c r="A54" s="200">
        <v>23</v>
      </c>
      <c r="B54" s="190" t="s">
        <v>228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>
        <v>6</v>
      </c>
      <c r="T54" s="182"/>
      <c r="U54" s="182"/>
      <c r="V54" s="182"/>
      <c r="W54" s="182"/>
      <c r="X54" s="182"/>
      <c r="Y54" s="182"/>
      <c r="Z54" s="172"/>
      <c r="AB54" s="175" t="str">
        <f t="shared" si="14"/>
        <v>Emre Can</v>
      </c>
    </row>
    <row r="55" spans="1:28" s="113" customFormat="1" ht="10.5" customHeight="1" x14ac:dyDescent="0.2">
      <c r="A55" s="200">
        <v>30</v>
      </c>
      <c r="B55" s="190" t="s">
        <v>485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4"/>
        <v>Ole Pohlmann</v>
      </c>
    </row>
    <row r="56" spans="1:28" s="113" customFormat="1" ht="10.5" customHeight="1" x14ac:dyDescent="0.2">
      <c r="A56" s="200">
        <v>32</v>
      </c>
      <c r="B56" s="190" t="s">
        <v>283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ref="AB56" si="15">B56</f>
        <v>Abdoulaye Kamara (A)</v>
      </c>
    </row>
    <row r="57" spans="1:28" s="113" customFormat="1" ht="10.5" customHeight="1" x14ac:dyDescent="0.2">
      <c r="A57" s="200">
        <v>48</v>
      </c>
      <c r="B57" s="190" t="s">
        <v>657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4"/>
        <v>Samuel Bamba</v>
      </c>
    </row>
    <row r="58" spans="1:28" ht="10.5" customHeight="1" x14ac:dyDescent="0.2">
      <c r="A58" s="201">
        <v>9</v>
      </c>
      <c r="B58" s="195" t="s">
        <v>362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>
        <v>11</v>
      </c>
      <c r="M58" s="182"/>
      <c r="N58" s="182"/>
      <c r="O58" s="182"/>
      <c r="P58" s="182"/>
      <c r="Q58" s="182"/>
      <c r="R58" s="182"/>
      <c r="S58" s="182">
        <v>10</v>
      </c>
      <c r="T58" s="182"/>
      <c r="U58" s="182"/>
      <c r="V58" s="182"/>
      <c r="W58" s="182"/>
      <c r="X58" s="182"/>
      <c r="Y58" s="182"/>
      <c r="AB58" s="175" t="str">
        <f>B58</f>
        <v>Sebastien Haller (A)</v>
      </c>
    </row>
    <row r="59" spans="1:28" ht="10.5" customHeight="1" x14ac:dyDescent="0.2">
      <c r="A59" s="201">
        <v>16</v>
      </c>
      <c r="B59" s="195" t="s">
        <v>454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>B59</f>
        <v>Julien Duranville (A)</v>
      </c>
    </row>
    <row r="60" spans="1:28" ht="10.5" customHeight="1" x14ac:dyDescent="0.2">
      <c r="A60" s="201">
        <v>18</v>
      </c>
      <c r="B60" s="195" t="s">
        <v>284</v>
      </c>
      <c r="C60" s="195" t="s">
        <v>3</v>
      </c>
      <c r="D60" s="196" t="s">
        <v>59</v>
      </c>
      <c r="E60" s="196" t="s">
        <v>59</v>
      </c>
      <c r="F60" s="196" t="s">
        <v>59</v>
      </c>
      <c r="G60" s="196" t="s">
        <v>59</v>
      </c>
      <c r="H60" s="197"/>
      <c r="I60" s="196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AB60" s="175" t="str">
        <f t="shared" ref="AB60:AB63" si="16">B60</f>
        <v xml:space="preserve">Youssoufa Moukoko </v>
      </c>
    </row>
    <row r="61" spans="1:28" ht="10.5" customHeight="1" x14ac:dyDescent="0.2">
      <c r="A61" s="201">
        <v>21</v>
      </c>
      <c r="B61" s="195" t="s">
        <v>285</v>
      </c>
      <c r="C61" s="195" t="s">
        <v>3</v>
      </c>
      <c r="D61" s="196" t="s">
        <v>59</v>
      </c>
      <c r="E61" s="196" t="s">
        <v>59</v>
      </c>
      <c r="F61" s="196" t="s">
        <v>59</v>
      </c>
      <c r="G61" s="196" t="s">
        <v>59</v>
      </c>
      <c r="H61" s="197"/>
      <c r="I61" s="196"/>
      <c r="J61" s="181"/>
      <c r="K61" s="182"/>
      <c r="L61" s="182"/>
      <c r="M61" s="182"/>
      <c r="N61" s="182"/>
      <c r="O61" s="182"/>
      <c r="P61" s="182"/>
      <c r="Q61" s="182"/>
      <c r="R61" s="182">
        <v>11</v>
      </c>
      <c r="S61" s="182"/>
      <c r="T61" s="182"/>
      <c r="U61" s="182"/>
      <c r="V61" s="182"/>
      <c r="W61" s="182"/>
      <c r="X61" s="182"/>
      <c r="Y61" s="182"/>
      <c r="AB61" s="175" t="str">
        <f t="shared" ref="AB61" si="17">B61</f>
        <v>Donyell Malen (A)</v>
      </c>
    </row>
    <row r="62" spans="1:28" ht="10.5" customHeight="1" x14ac:dyDescent="0.2">
      <c r="A62" s="201">
        <v>27</v>
      </c>
      <c r="B62" s="195" t="s">
        <v>363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 t="shared" si="16"/>
        <v>Karim Adeyemi</v>
      </c>
    </row>
    <row r="63" spans="1:28" ht="10.5" customHeight="1" x14ac:dyDescent="0.2">
      <c r="A63" s="201">
        <v>43</v>
      </c>
      <c r="B63" s="195" t="s">
        <v>364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6"/>
        <v>Jamie Bynoe-Gittens (A)</v>
      </c>
    </row>
    <row r="64" spans="1:28" ht="15" customHeight="1" thickBot="1" x14ac:dyDescent="0.25">
      <c r="A64" s="220" t="s">
        <v>128</v>
      </c>
      <c r="B64" s="220"/>
      <c r="C64" s="220"/>
      <c r="D64" s="220"/>
      <c r="E64" s="220"/>
      <c r="F64" s="220"/>
      <c r="G64" s="220"/>
      <c r="H64" s="220"/>
      <c r="I64" s="220"/>
      <c r="J64" s="10"/>
      <c r="K64" s="176">
        <v>12</v>
      </c>
      <c r="L64" s="176">
        <v>12</v>
      </c>
      <c r="M64" s="176">
        <v>12</v>
      </c>
      <c r="N64" s="176">
        <v>12</v>
      </c>
      <c r="O64" s="176">
        <v>12</v>
      </c>
      <c r="P64" s="176">
        <v>12</v>
      </c>
      <c r="Q64" s="176">
        <v>12</v>
      </c>
      <c r="R64" s="176">
        <v>12</v>
      </c>
      <c r="S64" s="176">
        <v>12</v>
      </c>
      <c r="T64" s="176">
        <v>12</v>
      </c>
      <c r="U64" s="176">
        <v>12</v>
      </c>
      <c r="V64" s="176">
        <v>12</v>
      </c>
      <c r="W64" s="176">
        <v>12</v>
      </c>
      <c r="X64" s="176">
        <v>12</v>
      </c>
      <c r="Y64" s="176">
        <v>12</v>
      </c>
      <c r="Z64" s="217"/>
      <c r="AB64" s="175" t="str">
        <f>A64</f>
        <v>RB Leipzig</v>
      </c>
    </row>
    <row r="65" spans="1:28" ht="10.5" customHeight="1" x14ac:dyDescent="0.2">
      <c r="A65" s="177">
        <v>1</v>
      </c>
      <c r="B65" s="178" t="s">
        <v>157</v>
      </c>
      <c r="C65" s="178" t="s">
        <v>0</v>
      </c>
      <c r="D65" s="179" t="s">
        <v>59</v>
      </c>
      <c r="E65" s="179" t="s">
        <v>59</v>
      </c>
      <c r="F65" s="180" t="s">
        <v>59</v>
      </c>
      <c r="G65" s="180" t="s">
        <v>59</v>
      </c>
      <c r="H65" s="180"/>
      <c r="I65" s="179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75" si="18">B65</f>
        <v>Peter Gulacsi (A)</v>
      </c>
    </row>
    <row r="66" spans="1:28" ht="10.5" customHeight="1" x14ac:dyDescent="0.2">
      <c r="A66" s="177">
        <v>21</v>
      </c>
      <c r="B66" s="178" t="s">
        <v>367</v>
      </c>
      <c r="C66" s="178" t="s">
        <v>0</v>
      </c>
      <c r="D66" s="179" t="s">
        <v>59</v>
      </c>
      <c r="E66" s="179" t="s">
        <v>59</v>
      </c>
      <c r="F66" s="180" t="s">
        <v>59</v>
      </c>
      <c r="G66" s="180" t="s">
        <v>59</v>
      </c>
      <c r="H66" s="180"/>
      <c r="I66" s="179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si="18"/>
        <v>Janis Blaswich</v>
      </c>
    </row>
    <row r="67" spans="1:28" ht="10.5" customHeight="1" x14ac:dyDescent="0.2">
      <c r="A67" s="177">
        <v>25</v>
      </c>
      <c r="B67" s="178" t="s">
        <v>486</v>
      </c>
      <c r="C67" s="178" t="s">
        <v>0</v>
      </c>
      <c r="D67" s="179" t="s">
        <v>59</v>
      </c>
      <c r="E67" s="179" t="s">
        <v>59</v>
      </c>
      <c r="F67" s="180" t="s">
        <v>59</v>
      </c>
      <c r="G67" s="180" t="s">
        <v>59</v>
      </c>
      <c r="H67" s="180"/>
      <c r="I67" s="179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8"/>
        <v>Leopold Zingerle</v>
      </c>
    </row>
    <row r="68" spans="1:28" ht="10.5" customHeight="1" x14ac:dyDescent="0.2">
      <c r="A68" s="177">
        <v>36</v>
      </c>
      <c r="B68" s="178" t="s">
        <v>368</v>
      </c>
      <c r="C68" s="178" t="s">
        <v>0</v>
      </c>
      <c r="D68" s="179" t="s">
        <v>59</v>
      </c>
      <c r="E68" s="179" t="s">
        <v>59</v>
      </c>
      <c r="F68" s="180" t="s">
        <v>59</v>
      </c>
      <c r="G68" s="180" t="s">
        <v>59</v>
      </c>
      <c r="H68" s="180"/>
      <c r="I68" s="179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19">B68</f>
        <v>Timo Schlieck</v>
      </c>
    </row>
    <row r="69" spans="1:28" ht="10.5" customHeight="1" x14ac:dyDescent="0.2">
      <c r="A69" s="198">
        <v>2</v>
      </c>
      <c r="B69" s="199" t="s">
        <v>281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ref="AB69" si="20">B69</f>
        <v>Mohamed Simakan (A)</v>
      </c>
    </row>
    <row r="70" spans="1:28" ht="10.5" customHeight="1" x14ac:dyDescent="0.2">
      <c r="A70" s="198">
        <v>4</v>
      </c>
      <c r="B70" s="199" t="s">
        <v>147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AB70" s="175" t="str">
        <f t="shared" si="18"/>
        <v>Willi Orban</v>
      </c>
    </row>
    <row r="71" spans="1:28" ht="10.5" customHeight="1" x14ac:dyDescent="0.2">
      <c r="A71" s="198">
        <v>5</v>
      </c>
      <c r="B71" s="199" t="s">
        <v>487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si="18"/>
        <v>El Chadaille Bitshiabu (A)</v>
      </c>
    </row>
    <row r="72" spans="1:28" ht="10.5" customHeight="1" x14ac:dyDescent="0.2">
      <c r="A72" s="198">
        <v>16</v>
      </c>
      <c r="B72" s="199" t="s">
        <v>151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18"/>
        <v>Lukas Klostermann</v>
      </c>
    </row>
    <row r="73" spans="1:28" ht="10.5" customHeight="1" x14ac:dyDescent="0.2">
      <c r="A73" s="198">
        <v>22</v>
      </c>
      <c r="B73" s="199" t="s">
        <v>306</v>
      </c>
      <c r="C73" s="185" t="s">
        <v>1</v>
      </c>
      <c r="D73" s="186" t="s">
        <v>59</v>
      </c>
      <c r="E73" s="186" t="s">
        <v>59</v>
      </c>
      <c r="F73" s="187" t="s">
        <v>59</v>
      </c>
      <c r="G73" s="187" t="s">
        <v>59</v>
      </c>
      <c r="H73" s="187"/>
      <c r="I73" s="186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18"/>
        <v>David Raum</v>
      </c>
    </row>
    <row r="74" spans="1:28" ht="10.5" customHeight="1" x14ac:dyDescent="0.2">
      <c r="A74" s="198">
        <v>23</v>
      </c>
      <c r="B74" s="199" t="s">
        <v>654</v>
      </c>
      <c r="C74" s="185" t="s">
        <v>1</v>
      </c>
      <c r="D74" s="186" t="s">
        <v>59</v>
      </c>
      <c r="E74" s="186" t="s">
        <v>59</v>
      </c>
      <c r="F74" s="187" t="s">
        <v>59</v>
      </c>
      <c r="G74" s="187" t="s">
        <v>59</v>
      </c>
      <c r="H74" s="187"/>
      <c r="I74" s="186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" si="21">B74</f>
        <v>Castello Lukeba (A)</v>
      </c>
    </row>
    <row r="75" spans="1:28" ht="10.5" customHeight="1" x14ac:dyDescent="0.2">
      <c r="A75" s="198">
        <v>39</v>
      </c>
      <c r="B75" s="199" t="s">
        <v>241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18"/>
        <v>Benjamin Henrichs</v>
      </c>
    </row>
    <row r="76" spans="1:28" ht="10.5" customHeight="1" x14ac:dyDescent="0.2">
      <c r="A76" s="200">
        <v>7</v>
      </c>
      <c r="B76" s="190" t="s">
        <v>227</v>
      </c>
      <c r="C76" s="190" t="s">
        <v>2</v>
      </c>
      <c r="D76" s="191" t="s">
        <v>59</v>
      </c>
      <c r="E76" s="191" t="s">
        <v>59</v>
      </c>
      <c r="F76" s="192" t="s">
        <v>59</v>
      </c>
      <c r="G76" s="192" t="s">
        <v>59</v>
      </c>
      <c r="H76" s="192"/>
      <c r="I76" s="191"/>
      <c r="J76" s="181"/>
      <c r="K76" s="182">
        <v>6</v>
      </c>
      <c r="L76" s="182">
        <v>8</v>
      </c>
      <c r="M76" s="182">
        <v>8</v>
      </c>
      <c r="N76" s="182">
        <v>7</v>
      </c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:AB82" si="22">B76</f>
        <v>Dani Olmo (A)</v>
      </c>
    </row>
    <row r="77" spans="1:28" ht="10.5" customHeight="1" x14ac:dyDescent="0.2">
      <c r="A77" s="200">
        <v>8</v>
      </c>
      <c r="B77" s="190" t="s">
        <v>191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Amadou Haidara (A)</v>
      </c>
    </row>
    <row r="78" spans="1:28" ht="10.5" customHeight="1" x14ac:dyDescent="0.2">
      <c r="A78" s="200">
        <v>10</v>
      </c>
      <c r="B78" s="190" t="s">
        <v>138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Emil Forsberg (A)</v>
      </c>
    </row>
    <row r="79" spans="1:28" ht="10.5" customHeight="1" x14ac:dyDescent="0.2">
      <c r="A79" s="200">
        <v>13</v>
      </c>
      <c r="B79" s="190" t="s">
        <v>488</v>
      </c>
      <c r="C79" s="190" t="s">
        <v>2</v>
      </c>
      <c r="D79" s="191"/>
      <c r="E79" s="191"/>
      <c r="F79" s="192"/>
      <c r="G79" s="192"/>
      <c r="H79" s="192"/>
      <c r="I79" s="191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Nicolas Seiwald (A)</v>
      </c>
    </row>
    <row r="80" spans="1:28" ht="10.5" customHeight="1" x14ac:dyDescent="0.2">
      <c r="A80" s="200">
        <v>14</v>
      </c>
      <c r="B80" s="190" t="s">
        <v>168</v>
      </c>
      <c r="C80" s="190" t="s">
        <v>2</v>
      </c>
      <c r="D80" s="191"/>
      <c r="E80" s="191"/>
      <c r="F80" s="192"/>
      <c r="G80" s="192"/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si="22"/>
        <v>Christoph Baumgartner (A)</v>
      </c>
    </row>
    <row r="81" spans="1:28" ht="10.5" customHeight="1" x14ac:dyDescent="0.2">
      <c r="A81" s="200">
        <v>18</v>
      </c>
      <c r="B81" s="190" t="s">
        <v>489</v>
      </c>
      <c r="C81" s="190" t="s">
        <v>2</v>
      </c>
      <c r="D81" s="191"/>
      <c r="E81" s="191"/>
      <c r="F81" s="192"/>
      <c r="G81" s="192"/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Fabio Carvalho (A)</v>
      </c>
    </row>
    <row r="82" spans="1:28" ht="10.5" customHeight="1" x14ac:dyDescent="0.2">
      <c r="A82" s="200">
        <v>20</v>
      </c>
      <c r="B82" s="190" t="s">
        <v>490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si="22"/>
        <v>Xavi Simons (A)</v>
      </c>
    </row>
    <row r="83" spans="1:28" ht="10.5" customHeight="1" x14ac:dyDescent="0.2">
      <c r="A83" s="200">
        <v>24</v>
      </c>
      <c r="B83" s="190" t="s">
        <v>196</v>
      </c>
      <c r="C83" s="190" t="s">
        <v>2</v>
      </c>
      <c r="D83" s="191" t="s">
        <v>59</v>
      </c>
      <c r="E83" s="191" t="s">
        <v>59</v>
      </c>
      <c r="F83" s="192" t="s">
        <v>59</v>
      </c>
      <c r="G83" s="192" t="s">
        <v>59</v>
      </c>
      <c r="H83" s="192"/>
      <c r="I83" s="191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ref="AB83:AB85" si="23">B83</f>
        <v>Xaver Schlager (A)</v>
      </c>
    </row>
    <row r="84" spans="1:28" ht="10.5" customHeight="1" x14ac:dyDescent="0.2">
      <c r="A84" s="200">
        <v>26</v>
      </c>
      <c r="B84" s="190" t="s">
        <v>491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" si="24">B84</f>
        <v>Ilaix Moriba (A)</v>
      </c>
    </row>
    <row r="85" spans="1:28" ht="10.5" customHeight="1" x14ac:dyDescent="0.2">
      <c r="A85" s="200">
        <v>28</v>
      </c>
      <c r="B85" s="190" t="s">
        <v>468</v>
      </c>
      <c r="C85" s="190" t="s">
        <v>2</v>
      </c>
      <c r="D85" s="191" t="s">
        <v>59</v>
      </c>
      <c r="E85" s="191" t="s">
        <v>59</v>
      </c>
      <c r="F85" s="192" t="s">
        <v>59</v>
      </c>
      <c r="G85" s="192" t="s">
        <v>59</v>
      </c>
      <c r="H85" s="192"/>
      <c r="I85" s="191"/>
      <c r="J85" s="181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3"/>
        <v>Caden Clark (A)</v>
      </c>
    </row>
    <row r="86" spans="1:28" ht="10.5" customHeight="1" x14ac:dyDescent="0.2">
      <c r="A86" s="200">
        <v>44</v>
      </c>
      <c r="B86" s="190" t="s">
        <v>126</v>
      </c>
      <c r="C86" s="190" t="s">
        <v>2</v>
      </c>
      <c r="D86" s="191" t="s">
        <v>59</v>
      </c>
      <c r="E86" s="191" t="s">
        <v>59</v>
      </c>
      <c r="F86" s="192" t="s">
        <v>59</v>
      </c>
      <c r="G86" s="192" t="s">
        <v>59</v>
      </c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ref="AB86" si="25">B86</f>
        <v>Kevin Kampl (A)</v>
      </c>
    </row>
    <row r="87" spans="1:28" ht="10.5" customHeight="1" x14ac:dyDescent="0.2">
      <c r="A87" s="201">
        <v>9</v>
      </c>
      <c r="B87" s="195" t="s">
        <v>137</v>
      </c>
      <c r="C87" s="195" t="s">
        <v>3</v>
      </c>
      <c r="D87" s="196" t="s">
        <v>59</v>
      </c>
      <c r="E87" s="196" t="s">
        <v>59</v>
      </c>
      <c r="F87" s="197" t="s">
        <v>59</v>
      </c>
      <c r="G87" s="197" t="s">
        <v>59</v>
      </c>
      <c r="H87" s="197"/>
      <c r="I87" s="196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>B87</f>
        <v>Yussuf Poulsen (A)</v>
      </c>
    </row>
    <row r="88" spans="1:28" ht="10.5" customHeight="1" x14ac:dyDescent="0.2">
      <c r="A88" s="201">
        <v>11</v>
      </c>
      <c r="B88" s="195" t="s">
        <v>431</v>
      </c>
      <c r="C88" s="195" t="s">
        <v>3</v>
      </c>
      <c r="D88" s="196" t="s">
        <v>59</v>
      </c>
      <c r="E88" s="196" t="s">
        <v>59</v>
      </c>
      <c r="F88" s="197" t="s">
        <v>59</v>
      </c>
      <c r="G88" s="197" t="s">
        <v>59</v>
      </c>
      <c r="H88" s="197"/>
      <c r="I88" s="196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ref="AB88:AB90" si="26">B88</f>
        <v>Timo Werner</v>
      </c>
    </row>
    <row r="89" spans="1:28" ht="10.5" customHeight="1" x14ac:dyDescent="0.2">
      <c r="A89" s="201">
        <v>17</v>
      </c>
      <c r="B89" s="195" t="s">
        <v>492</v>
      </c>
      <c r="C89" s="195" t="s">
        <v>3</v>
      </c>
      <c r="D89" s="196" t="s">
        <v>59</v>
      </c>
      <c r="E89" s="196" t="s">
        <v>59</v>
      </c>
      <c r="F89" s="197" t="s">
        <v>59</v>
      </c>
      <c r="G89" s="197" t="s">
        <v>59</v>
      </c>
      <c r="H89" s="197"/>
      <c r="I89" s="196"/>
      <c r="J89" s="181"/>
      <c r="K89" s="182">
        <v>11</v>
      </c>
      <c r="L89" s="182">
        <v>10</v>
      </c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si="26"/>
        <v>Lois Openda (A)</v>
      </c>
    </row>
    <row r="90" spans="1:28" ht="10.5" customHeight="1" x14ac:dyDescent="0.2">
      <c r="A90" s="201">
        <v>30</v>
      </c>
      <c r="B90" s="195" t="s">
        <v>493</v>
      </c>
      <c r="C90" s="195" t="s">
        <v>3</v>
      </c>
      <c r="D90" s="196" t="s">
        <v>59</v>
      </c>
      <c r="E90" s="196" t="s">
        <v>59</v>
      </c>
      <c r="F90" s="197" t="s">
        <v>59</v>
      </c>
      <c r="G90" s="197" t="s">
        <v>59</v>
      </c>
      <c r="H90" s="197"/>
      <c r="I90" s="196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si="26"/>
        <v>Benjamin Sesko (A)</v>
      </c>
    </row>
    <row r="91" spans="1:28" ht="10.5" customHeight="1" x14ac:dyDescent="0.2">
      <c r="A91" s="201">
        <v>38</v>
      </c>
      <c r="B91" s="195" t="s">
        <v>494</v>
      </c>
      <c r="C91" s="195" t="s">
        <v>3</v>
      </c>
      <c r="D91" s="196" t="s">
        <v>59</v>
      </c>
      <c r="E91" s="196" t="s">
        <v>59</v>
      </c>
      <c r="F91" s="197" t="s">
        <v>59</v>
      </c>
      <c r="G91" s="197" t="s">
        <v>59</v>
      </c>
      <c r="H91" s="197"/>
      <c r="I91" s="196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ref="AB91" si="27">B91</f>
        <v>Hugo Novoa (A)</v>
      </c>
    </row>
    <row r="92" spans="1:28" ht="15" customHeight="1" thickBot="1" x14ac:dyDescent="0.25">
      <c r="A92" s="220" t="s">
        <v>184</v>
      </c>
      <c r="B92" s="220"/>
      <c r="C92" s="220"/>
      <c r="D92" s="220"/>
      <c r="E92" s="220"/>
      <c r="F92" s="220"/>
      <c r="G92" s="220"/>
      <c r="H92" s="220"/>
      <c r="I92" s="220"/>
      <c r="J92" s="10"/>
      <c r="K92" s="176">
        <v>12</v>
      </c>
      <c r="L92" s="176">
        <v>12</v>
      </c>
      <c r="M92" s="176">
        <v>12</v>
      </c>
      <c r="N92" s="176">
        <v>12</v>
      </c>
      <c r="O92" s="176">
        <v>12</v>
      </c>
      <c r="P92" s="176">
        <v>12</v>
      </c>
      <c r="Q92" s="176">
        <v>12</v>
      </c>
      <c r="R92" s="176">
        <v>12</v>
      </c>
      <c r="S92" s="176">
        <v>12</v>
      </c>
      <c r="T92" s="176">
        <v>12</v>
      </c>
      <c r="U92" s="176">
        <v>12</v>
      </c>
      <c r="V92" s="176">
        <v>12</v>
      </c>
      <c r="W92" s="176">
        <v>12</v>
      </c>
      <c r="X92" s="176">
        <v>12</v>
      </c>
      <c r="Y92" s="176">
        <v>12</v>
      </c>
      <c r="Z92" s="217"/>
      <c r="AB92" s="175" t="str">
        <f>A92</f>
        <v>1.FC Union Berlin</v>
      </c>
    </row>
    <row r="93" spans="1:28" ht="10.5" customHeight="1" x14ac:dyDescent="0.2">
      <c r="A93" s="177">
        <v>1</v>
      </c>
      <c r="B93" s="178" t="s">
        <v>295</v>
      </c>
      <c r="C93" s="178" t="s">
        <v>0</v>
      </c>
      <c r="D93" s="179" t="s">
        <v>59</v>
      </c>
      <c r="E93" s="179" t="s">
        <v>59</v>
      </c>
      <c r="F93" s="180" t="s">
        <v>59</v>
      </c>
      <c r="G93" s="180" t="s">
        <v>59</v>
      </c>
      <c r="H93" s="180"/>
      <c r="I93" s="179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Frederik Rönnow (A)</v>
      </c>
    </row>
    <row r="94" spans="1:28" ht="10.5" customHeight="1" x14ac:dyDescent="0.2">
      <c r="A94" s="177">
        <v>12</v>
      </c>
      <c r="B94" s="178" t="s">
        <v>215</v>
      </c>
      <c r="C94" s="178" t="s">
        <v>0</v>
      </c>
      <c r="D94" s="179" t="s">
        <v>59</v>
      </c>
      <c r="E94" s="179" t="s">
        <v>59</v>
      </c>
      <c r="F94" s="180" t="s">
        <v>59</v>
      </c>
      <c r="G94" s="180" t="s">
        <v>59</v>
      </c>
      <c r="H94" s="180"/>
      <c r="I94" s="179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8">B94</f>
        <v>Jakob Busk (A)</v>
      </c>
    </row>
    <row r="95" spans="1:28" ht="10.5" customHeight="1" x14ac:dyDescent="0.2">
      <c r="A95" s="177">
        <v>37</v>
      </c>
      <c r="B95" s="178" t="s">
        <v>156</v>
      </c>
      <c r="C95" s="178" t="s">
        <v>0</v>
      </c>
      <c r="D95" s="179" t="s">
        <v>59</v>
      </c>
      <c r="E95" s="179" t="s">
        <v>59</v>
      </c>
      <c r="F95" s="180" t="s">
        <v>59</v>
      </c>
      <c r="G95" s="180" t="s">
        <v>59</v>
      </c>
      <c r="H95" s="180"/>
      <c r="I95" s="179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29">B95</f>
        <v>Alexander Schwolow</v>
      </c>
    </row>
    <row r="96" spans="1:28" ht="10.5" customHeight="1" x14ac:dyDescent="0.2">
      <c r="A96" s="177">
        <v>39</v>
      </c>
      <c r="B96" s="178" t="s">
        <v>495</v>
      </c>
      <c r="C96" s="178" t="s">
        <v>0</v>
      </c>
      <c r="D96" s="179" t="s">
        <v>59</v>
      </c>
      <c r="E96" s="179" t="s">
        <v>59</v>
      </c>
      <c r="F96" s="180" t="s">
        <v>59</v>
      </c>
      <c r="G96" s="180" t="s">
        <v>59</v>
      </c>
      <c r="H96" s="180"/>
      <c r="I96" s="179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8"/>
        <v>Yannic Stein</v>
      </c>
    </row>
    <row r="97" spans="1:28" ht="10.5" customHeight="1" x14ac:dyDescent="0.2">
      <c r="A97" s="198">
        <v>3</v>
      </c>
      <c r="B97" s="199" t="s">
        <v>294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0">B97</f>
        <v>Paul Jaeckel</v>
      </c>
    </row>
    <row r="98" spans="1:28" ht="10.5" customHeight="1" x14ac:dyDescent="0.2">
      <c r="A98" s="198">
        <v>4</v>
      </c>
      <c r="B98" s="199" t="s">
        <v>370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ref="AB98:AB103" si="31">B98</f>
        <v>Diogo Leite (A)</v>
      </c>
    </row>
    <row r="99" spans="1:28" ht="10.5" customHeight="1" x14ac:dyDescent="0.2">
      <c r="A99" s="198">
        <v>5</v>
      </c>
      <c r="B99" s="199" t="s">
        <v>369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Danilho Doekhi (A)</v>
      </c>
    </row>
    <row r="100" spans="1:28" ht="10.5" customHeight="1" x14ac:dyDescent="0.2">
      <c r="A100" s="198">
        <v>6</v>
      </c>
      <c r="B100" s="199" t="s">
        <v>671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Robin Gosens</v>
      </c>
    </row>
    <row r="101" spans="1:28" ht="10.5" customHeight="1" x14ac:dyDescent="0.2">
      <c r="A101" s="198">
        <v>18</v>
      </c>
      <c r="B101" s="199" t="s">
        <v>469</v>
      </c>
      <c r="C101" s="185" t="s">
        <v>1</v>
      </c>
      <c r="D101" s="186" t="s">
        <v>59</v>
      </c>
      <c r="E101" s="186" t="s">
        <v>59</v>
      </c>
      <c r="F101" s="187" t="s">
        <v>59</v>
      </c>
      <c r="G101" s="187" t="s">
        <v>59</v>
      </c>
      <c r="H101" s="187"/>
      <c r="I101" s="186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Josip Juranovic (A)</v>
      </c>
    </row>
    <row r="102" spans="1:28" ht="10.5" customHeight="1" x14ac:dyDescent="0.2">
      <c r="A102" s="198">
        <v>26</v>
      </c>
      <c r="B102" s="199" t="s">
        <v>179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si="31"/>
        <v>Jerome Roussillon (A)</v>
      </c>
    </row>
    <row r="103" spans="1:28" ht="10.5" customHeight="1" x14ac:dyDescent="0.2">
      <c r="A103" s="198">
        <v>28</v>
      </c>
      <c r="B103" s="199" t="s">
        <v>218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1"/>
        <v>Christopher Trimmel (A)</v>
      </c>
    </row>
    <row r="104" spans="1:28" ht="10.5" customHeight="1" x14ac:dyDescent="0.2">
      <c r="A104" s="198">
        <v>31</v>
      </c>
      <c r="B104" s="199" t="s">
        <v>99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>
        <v>2</v>
      </c>
      <c r="P104" s="182">
        <v>4</v>
      </c>
      <c r="Q104" s="182">
        <v>4</v>
      </c>
      <c r="R104" s="182">
        <v>4</v>
      </c>
      <c r="S104" s="182"/>
      <c r="T104" s="182"/>
      <c r="U104" s="182"/>
      <c r="V104" s="182"/>
      <c r="W104" s="182"/>
      <c r="X104" s="182"/>
      <c r="Y104" s="182"/>
      <c r="AB104" s="175" t="str">
        <f t="shared" ref="AB104" si="33">B104</f>
        <v>Robin Knoche</v>
      </c>
    </row>
    <row r="105" spans="1:28" ht="10.5" customHeight="1" x14ac:dyDescent="0.2">
      <c r="A105" s="198">
        <v>33</v>
      </c>
      <c r="B105" s="199" t="s">
        <v>174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ref="AB105:AB106" si="34">B105</f>
        <v>Dominique Heintz</v>
      </c>
    </row>
    <row r="106" spans="1:28" ht="10.5" customHeight="1" x14ac:dyDescent="0.2">
      <c r="A106" s="198">
        <v>42</v>
      </c>
      <c r="B106" s="199" t="s">
        <v>496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Mathis Bruns</v>
      </c>
    </row>
    <row r="107" spans="1:28" ht="10.5" customHeight="1" x14ac:dyDescent="0.2">
      <c r="A107" s="200">
        <v>7</v>
      </c>
      <c r="B107" s="190" t="s">
        <v>497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" si="35">B107</f>
        <v>Brendon Aaronson (A)</v>
      </c>
    </row>
    <row r="108" spans="1:28" ht="10.5" customHeight="1" x14ac:dyDescent="0.2">
      <c r="A108" s="200">
        <v>8</v>
      </c>
      <c r="B108" s="190" t="s">
        <v>142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>
        <v>7</v>
      </c>
      <c r="M108" s="182"/>
      <c r="N108" s="182"/>
      <c r="O108" s="182"/>
      <c r="P108" s="182"/>
      <c r="Q108" s="182"/>
      <c r="R108" s="182"/>
      <c r="S108" s="182">
        <v>7</v>
      </c>
      <c r="T108" s="182"/>
      <c r="U108" s="182"/>
      <c r="V108" s="182"/>
      <c r="W108" s="182"/>
      <c r="X108" s="182"/>
      <c r="Y108" s="182"/>
      <c r="AB108" s="175" t="str">
        <f t="shared" ref="AB108:AB114" si="36">B108</f>
        <v>Rani Khedira</v>
      </c>
    </row>
    <row r="109" spans="1:28" ht="10.5" customHeight="1" x14ac:dyDescent="0.2">
      <c r="A109" s="200">
        <v>13</v>
      </c>
      <c r="B109" s="190" t="s">
        <v>343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6"/>
        <v>Andras Schäfer (A)</v>
      </c>
    </row>
    <row r="110" spans="1:28" ht="10.5" customHeight="1" x14ac:dyDescent="0.2">
      <c r="A110" s="200">
        <v>19</v>
      </c>
      <c r="B110" s="190" t="s">
        <v>144</v>
      </c>
      <c r="C110" s="190" t="s">
        <v>2</v>
      </c>
      <c r="D110" s="205" t="s">
        <v>59</v>
      </c>
      <c r="E110" s="205" t="s">
        <v>59</v>
      </c>
      <c r="F110" s="206" t="s">
        <v>59</v>
      </c>
      <c r="G110" s="206" t="s">
        <v>59</v>
      </c>
      <c r="H110" s="206"/>
      <c r="I110" s="205"/>
      <c r="J110" s="207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6"/>
        <v>Janik Haberer</v>
      </c>
    </row>
    <row r="111" spans="1:28" ht="10.5" customHeight="1" x14ac:dyDescent="0.2">
      <c r="A111" s="200">
        <v>20</v>
      </c>
      <c r="B111" s="190" t="s">
        <v>456</v>
      </c>
      <c r="C111" s="190" t="s">
        <v>2</v>
      </c>
      <c r="D111" s="205" t="s">
        <v>59</v>
      </c>
      <c r="E111" s="205" t="s">
        <v>59</v>
      </c>
      <c r="F111" s="206" t="s">
        <v>59</v>
      </c>
      <c r="G111" s="206" t="s">
        <v>59</v>
      </c>
      <c r="H111" s="206"/>
      <c r="I111" s="205"/>
      <c r="J111" s="207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6"/>
        <v>Aissa Laidouni (A)</v>
      </c>
    </row>
    <row r="112" spans="1:28" ht="10.5" customHeight="1" x14ac:dyDescent="0.2">
      <c r="A112" s="200">
        <v>21</v>
      </c>
      <c r="B112" s="190" t="s">
        <v>371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si="36"/>
        <v>Tim Skarke</v>
      </c>
    </row>
    <row r="113" spans="1:28" ht="10.5" customHeight="1" x14ac:dyDescent="0.2">
      <c r="A113" s="200">
        <v>29</v>
      </c>
      <c r="B113" s="190" t="s">
        <v>249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6"/>
        <v>Lucas Tousart (A)</v>
      </c>
    </row>
    <row r="114" spans="1:28" ht="10.5" customHeight="1" x14ac:dyDescent="0.2">
      <c r="A114" s="200">
        <v>32</v>
      </c>
      <c r="B114" s="190" t="s">
        <v>322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6"/>
        <v>Milos Pantovic (A)</v>
      </c>
    </row>
    <row r="115" spans="1:28" ht="10.5" customHeight="1" x14ac:dyDescent="0.2">
      <c r="A115" s="200">
        <v>33</v>
      </c>
      <c r="B115" s="190" t="s">
        <v>409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ref="AB115:AB117" si="37">B115</f>
        <v>Alex Kral (A)</v>
      </c>
    </row>
    <row r="116" spans="1:28" ht="10.5" customHeight="1" x14ac:dyDescent="0.2">
      <c r="A116" s="200">
        <v>36</v>
      </c>
      <c r="B116" s="190" t="s">
        <v>442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7"/>
        <v>Aljoscha Kemlein</v>
      </c>
    </row>
    <row r="117" spans="1:28" ht="10.5" customHeight="1" x14ac:dyDescent="0.2">
      <c r="A117" s="200">
        <v>38</v>
      </c>
      <c r="B117" s="190" t="s">
        <v>498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7"/>
        <v>Laurenz Dehl</v>
      </c>
    </row>
    <row r="118" spans="1:28" ht="10.5" customHeight="1" x14ac:dyDescent="0.2">
      <c r="A118" s="201">
        <v>9</v>
      </c>
      <c r="B118" s="195" t="s">
        <v>499</v>
      </c>
      <c r="C118" s="195" t="s">
        <v>3</v>
      </c>
      <c r="D118" s="196" t="s">
        <v>59</v>
      </c>
      <c r="E118" s="196" t="s">
        <v>59</v>
      </c>
      <c r="F118" s="196" t="s">
        <v>59</v>
      </c>
      <c r="G118" s="196" t="s">
        <v>59</v>
      </c>
      <c r="H118" s="197"/>
      <c r="I118" s="196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24" si="38">B118</f>
        <v>Mikkel Kaufmann (A)</v>
      </c>
    </row>
    <row r="119" spans="1:28" ht="10.5" customHeight="1" x14ac:dyDescent="0.2">
      <c r="A119" s="201">
        <v>10</v>
      </c>
      <c r="B119" s="195" t="s">
        <v>673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38"/>
        <v>Kevin Volland</v>
      </c>
    </row>
    <row r="120" spans="1:28" ht="10.5" customHeight="1" x14ac:dyDescent="0.2">
      <c r="A120" s="201">
        <v>11</v>
      </c>
      <c r="B120" s="195" t="s">
        <v>500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ref="AB120:AB123" si="39">B120</f>
        <v>David Datro Fofana (A)</v>
      </c>
    </row>
    <row r="121" spans="1:28" ht="10.5" customHeight="1" x14ac:dyDescent="0.2">
      <c r="A121" s="201">
        <v>16</v>
      </c>
      <c r="B121" s="195" t="s">
        <v>501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si="39"/>
        <v>Benedict Hollerbach</v>
      </c>
    </row>
    <row r="122" spans="1:28" ht="10.5" customHeight="1" x14ac:dyDescent="0.2">
      <c r="A122" s="201">
        <v>17</v>
      </c>
      <c r="B122" s="195" t="s">
        <v>292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>
        <v>9</v>
      </c>
      <c r="O122" s="182">
        <v>10</v>
      </c>
      <c r="P122" s="182">
        <v>11</v>
      </c>
      <c r="Q122" s="182">
        <v>10</v>
      </c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si="39"/>
        <v>Kevin Behrens</v>
      </c>
    </row>
    <row r="123" spans="1:28" ht="10.5" customHeight="1" x14ac:dyDescent="0.2">
      <c r="A123" s="201">
        <v>27</v>
      </c>
      <c r="B123" s="195" t="s">
        <v>222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39"/>
        <v>Sheraldo Becker (A)</v>
      </c>
    </row>
    <row r="124" spans="1:28" ht="10.5" customHeight="1" x14ac:dyDescent="0.2">
      <c r="A124" s="201">
        <v>45</v>
      </c>
      <c r="B124" s="195" t="s">
        <v>372</v>
      </c>
      <c r="C124" s="195" t="s">
        <v>3</v>
      </c>
      <c r="D124" s="196" t="s">
        <v>59</v>
      </c>
      <c r="E124" s="196" t="s">
        <v>59</v>
      </c>
      <c r="F124" s="196" t="s">
        <v>59</v>
      </c>
      <c r="G124" s="196" t="s">
        <v>59</v>
      </c>
      <c r="H124" s="197"/>
      <c r="I124" s="19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38"/>
        <v>Jordan Siebatcheu (A)</v>
      </c>
    </row>
    <row r="125" spans="1:28" ht="15" customHeight="1" thickBot="1" x14ac:dyDescent="0.25">
      <c r="A125" s="220" t="s">
        <v>129</v>
      </c>
      <c r="B125" s="220"/>
      <c r="C125" s="220"/>
      <c r="D125" s="220"/>
      <c r="E125" s="220"/>
      <c r="F125" s="220"/>
      <c r="G125" s="220"/>
      <c r="H125" s="220"/>
      <c r="I125" s="220"/>
      <c r="J125" s="10"/>
      <c r="K125" s="176">
        <v>12</v>
      </c>
      <c r="L125" s="176">
        <v>12</v>
      </c>
      <c r="M125" s="176">
        <v>12</v>
      </c>
      <c r="N125" s="176">
        <v>12</v>
      </c>
      <c r="O125" s="176">
        <v>12</v>
      </c>
      <c r="P125" s="176">
        <v>12</v>
      </c>
      <c r="Q125" s="176">
        <v>12</v>
      </c>
      <c r="R125" s="176">
        <v>12</v>
      </c>
      <c r="S125" s="176">
        <v>12</v>
      </c>
      <c r="T125" s="176">
        <v>12</v>
      </c>
      <c r="U125" s="176">
        <v>12</v>
      </c>
      <c r="V125" s="176">
        <v>12</v>
      </c>
      <c r="W125" s="176">
        <v>12</v>
      </c>
      <c r="X125" s="176">
        <v>12</v>
      </c>
      <c r="Y125" s="176">
        <v>12</v>
      </c>
      <c r="Z125" s="217"/>
      <c r="AB125" s="175" t="str">
        <f>A125</f>
        <v>SC Freiburg</v>
      </c>
    </row>
    <row r="126" spans="1:28" ht="10.5" customHeight="1" x14ac:dyDescent="0.2">
      <c r="A126" s="177">
        <v>1</v>
      </c>
      <c r="B126" s="178" t="s">
        <v>302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49" si="40">B126</f>
        <v>Noah Atubolu</v>
      </c>
    </row>
    <row r="127" spans="1:28" ht="10.5" customHeight="1" x14ac:dyDescent="0.2">
      <c r="A127" s="177">
        <v>21</v>
      </c>
      <c r="B127" s="178" t="s">
        <v>155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ref="AB127:AB128" si="41">B127</f>
        <v>Florian Müller</v>
      </c>
    </row>
    <row r="128" spans="1:28" ht="10.5" customHeight="1" x14ac:dyDescent="0.2">
      <c r="A128" s="177">
        <v>31</v>
      </c>
      <c r="B128" s="178" t="s">
        <v>245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si="41"/>
        <v>Benjamin Uphoff</v>
      </c>
    </row>
    <row r="129" spans="1:28" ht="10.5" customHeight="1" x14ac:dyDescent="0.2">
      <c r="A129" s="204">
        <v>3</v>
      </c>
      <c r="B129" s="185" t="s">
        <v>165</v>
      </c>
      <c r="C129" s="185" t="s">
        <v>1</v>
      </c>
      <c r="D129" s="186" t="s">
        <v>59</v>
      </c>
      <c r="E129" s="186" t="s">
        <v>59</v>
      </c>
      <c r="F129" s="187" t="s">
        <v>59</v>
      </c>
      <c r="G129" s="187" t="s">
        <v>59</v>
      </c>
      <c r="H129" s="187"/>
      <c r="I129" s="186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>B129</f>
        <v>Philipp Lienhart (A)</v>
      </c>
    </row>
    <row r="130" spans="1:28" ht="10.5" customHeight="1" x14ac:dyDescent="0.2">
      <c r="A130" s="204">
        <v>4</v>
      </c>
      <c r="B130" s="185" t="s">
        <v>447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5" si="42">B130</f>
        <v>Kenneth Schmidt</v>
      </c>
    </row>
    <row r="131" spans="1:28" ht="10.5" customHeight="1" x14ac:dyDescent="0.2">
      <c r="A131" s="204">
        <v>5</v>
      </c>
      <c r="B131" s="185" t="s">
        <v>154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3" si="43">B131</f>
        <v>Manuel Gulde</v>
      </c>
    </row>
    <row r="132" spans="1:28" ht="10.5" customHeight="1" x14ac:dyDescent="0.2">
      <c r="A132" s="204">
        <v>17</v>
      </c>
      <c r="B132" s="185" t="s">
        <v>148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3"/>
        <v>Lukas Kübler</v>
      </c>
    </row>
    <row r="133" spans="1:28" ht="10.5" customHeight="1" x14ac:dyDescent="0.2">
      <c r="A133" s="204">
        <v>25</v>
      </c>
      <c r="B133" s="185" t="s">
        <v>276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3"/>
        <v>Kiliann Sildillia (A)</v>
      </c>
    </row>
    <row r="134" spans="1:28" ht="10.5" customHeight="1" x14ac:dyDescent="0.2">
      <c r="A134" s="204">
        <v>26</v>
      </c>
      <c r="B134" s="185" t="s">
        <v>175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2"/>
        <v>Keven Schlotterbeck</v>
      </c>
    </row>
    <row r="135" spans="1:28" ht="10.5" customHeight="1" x14ac:dyDescent="0.2">
      <c r="A135" s="204">
        <v>28</v>
      </c>
      <c r="B135" s="185" t="s">
        <v>109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>
        <v>2</v>
      </c>
      <c r="S135" s="182"/>
      <c r="T135" s="182"/>
      <c r="U135" s="182"/>
      <c r="V135" s="182"/>
      <c r="W135" s="182"/>
      <c r="X135" s="182"/>
      <c r="Y135" s="182"/>
      <c r="AB135" s="175" t="str">
        <f t="shared" si="42"/>
        <v>Matthias Ginter</v>
      </c>
    </row>
    <row r="136" spans="1:28" ht="10.5" customHeight="1" x14ac:dyDescent="0.2">
      <c r="A136" s="204">
        <v>30</v>
      </c>
      <c r="B136" s="185" t="s">
        <v>153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ref="AB136:AB137" si="44">B136</f>
        <v>Christian Günter</v>
      </c>
    </row>
    <row r="137" spans="1:28" ht="10.5" customHeight="1" x14ac:dyDescent="0.2">
      <c r="A137" s="204">
        <v>33</v>
      </c>
      <c r="B137" s="185" t="s">
        <v>502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si="44"/>
        <v>Jordy Makengo (A)</v>
      </c>
    </row>
    <row r="138" spans="1:28" ht="10.5" customHeight="1" x14ac:dyDescent="0.2">
      <c r="A138" s="204">
        <v>37</v>
      </c>
      <c r="B138" s="185" t="s">
        <v>503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5">B138</f>
        <v>Max Rosenfelder</v>
      </c>
    </row>
    <row r="139" spans="1:28" ht="10.5" customHeight="1" x14ac:dyDescent="0.2">
      <c r="A139" s="200">
        <v>7</v>
      </c>
      <c r="B139" s="190" t="s">
        <v>303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ref="AB139" si="46">B139</f>
        <v>Noah Weisshaupt</v>
      </c>
    </row>
    <row r="140" spans="1:28" ht="10.5" customHeight="1" x14ac:dyDescent="0.2">
      <c r="A140" s="200">
        <v>8</v>
      </c>
      <c r="B140" s="190" t="s">
        <v>334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:AB148" si="47">B140</f>
        <v>Maximilian Eggestein</v>
      </c>
    </row>
    <row r="141" spans="1:28" ht="10.5" customHeight="1" x14ac:dyDescent="0.2">
      <c r="A141" s="200">
        <v>11</v>
      </c>
      <c r="B141" s="190" t="s">
        <v>373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si="47"/>
        <v>Daniel-Kofi Kyereh</v>
      </c>
    </row>
    <row r="142" spans="1:28" ht="10.5" customHeight="1" x14ac:dyDescent="0.2">
      <c r="A142" s="200">
        <v>14</v>
      </c>
      <c r="B142" s="190" t="s">
        <v>233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7"/>
        <v>Yannik Keitel</v>
      </c>
    </row>
    <row r="143" spans="1:28" ht="10.5" customHeight="1" x14ac:dyDescent="0.2">
      <c r="A143" s="200">
        <v>22</v>
      </c>
      <c r="B143" s="190" t="s">
        <v>205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47"/>
        <v>Roland Sallai (A)</v>
      </c>
    </row>
    <row r="144" spans="1:28" ht="10.5" customHeight="1" x14ac:dyDescent="0.2">
      <c r="A144" s="200">
        <v>27</v>
      </c>
      <c r="B144" s="190" t="s">
        <v>143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47"/>
        <v>Nicolas Höfler</v>
      </c>
    </row>
    <row r="145" spans="1:28" ht="10.5" customHeight="1" x14ac:dyDescent="0.2">
      <c r="A145" s="200">
        <v>32</v>
      </c>
      <c r="B145" s="190" t="s">
        <v>460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>
        <v>7</v>
      </c>
      <c r="S145" s="182"/>
      <c r="T145" s="182"/>
      <c r="U145" s="182"/>
      <c r="V145" s="182"/>
      <c r="W145" s="182"/>
      <c r="X145" s="182"/>
      <c r="Y145" s="182"/>
      <c r="AB145" s="175" t="str">
        <f t="shared" si="47"/>
        <v>Vincenzo Grifo</v>
      </c>
    </row>
    <row r="146" spans="1:28" ht="10.5" customHeight="1" x14ac:dyDescent="0.2">
      <c r="A146" s="200">
        <v>34</v>
      </c>
      <c r="B146" s="190" t="s">
        <v>432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47"/>
        <v>Merlin Röhl</v>
      </c>
    </row>
    <row r="147" spans="1:28" ht="10.5" customHeight="1" x14ac:dyDescent="0.2">
      <c r="A147" s="200">
        <v>42</v>
      </c>
      <c r="B147" s="190" t="s">
        <v>374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ref="AB147" si="48">B147</f>
        <v>Ritsu Doan (A)</v>
      </c>
    </row>
    <row r="148" spans="1:28" ht="10.5" customHeight="1" x14ac:dyDescent="0.2">
      <c r="A148" s="200">
        <v>54</v>
      </c>
      <c r="B148" s="190" t="s">
        <v>666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47"/>
        <v>Mika Baur</v>
      </c>
    </row>
    <row r="149" spans="1:28" ht="10.5" customHeight="1" x14ac:dyDescent="0.2">
      <c r="A149" s="201">
        <v>9</v>
      </c>
      <c r="B149" s="195" t="s">
        <v>176</v>
      </c>
      <c r="C149" s="195" t="s">
        <v>3</v>
      </c>
      <c r="D149" s="196" t="s">
        <v>59</v>
      </c>
      <c r="E149" s="196" t="s">
        <v>59</v>
      </c>
      <c r="F149" s="197" t="s">
        <v>59</v>
      </c>
      <c r="G149" s="197" t="s">
        <v>59</v>
      </c>
      <c r="H149" s="197"/>
      <c r="I149" s="19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40"/>
        <v>Lucas Höler</v>
      </c>
    </row>
    <row r="150" spans="1:28" ht="10.5" customHeight="1" x14ac:dyDescent="0.2">
      <c r="A150" s="201">
        <v>20</v>
      </c>
      <c r="B150" s="195" t="s">
        <v>504</v>
      </c>
      <c r="C150" s="195" t="s">
        <v>3</v>
      </c>
      <c r="D150" s="196" t="s">
        <v>59</v>
      </c>
      <c r="E150" s="196" t="s">
        <v>59</v>
      </c>
      <c r="F150" s="197" t="s">
        <v>59</v>
      </c>
      <c r="G150" s="197" t="s">
        <v>59</v>
      </c>
      <c r="H150" s="197"/>
      <c r="I150" s="19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2" si="49">B150</f>
        <v>Junior Adamu (A)</v>
      </c>
    </row>
    <row r="151" spans="1:28" ht="10.5" customHeight="1" x14ac:dyDescent="0.2">
      <c r="A151" s="201">
        <v>38</v>
      </c>
      <c r="B151" s="195" t="s">
        <v>251</v>
      </c>
      <c r="C151" s="195" t="s">
        <v>3</v>
      </c>
      <c r="D151" s="196" t="s">
        <v>59</v>
      </c>
      <c r="E151" s="196" t="s">
        <v>59</v>
      </c>
      <c r="F151" s="197" t="s">
        <v>59</v>
      </c>
      <c r="G151" s="197" t="s">
        <v>59</v>
      </c>
      <c r="H151" s="197"/>
      <c r="I151" s="196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ref="AB151" si="50">B151</f>
        <v>Michael Gregoritsch (A)</v>
      </c>
    </row>
    <row r="152" spans="1:28" ht="10.5" customHeight="1" x14ac:dyDescent="0.2">
      <c r="A152" s="201">
        <v>44</v>
      </c>
      <c r="B152" s="195" t="s">
        <v>667</v>
      </c>
      <c r="C152" s="195" t="s">
        <v>3</v>
      </c>
      <c r="D152" s="196" t="s">
        <v>59</v>
      </c>
      <c r="E152" s="196" t="s">
        <v>59</v>
      </c>
      <c r="F152" s="197" t="s">
        <v>59</v>
      </c>
      <c r="G152" s="197" t="s">
        <v>59</v>
      </c>
      <c r="H152" s="197"/>
      <c r="I152" s="19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49"/>
        <v>Maximilian Breunig</v>
      </c>
    </row>
    <row r="153" spans="1:28" ht="15" customHeight="1" thickBot="1" x14ac:dyDescent="0.25">
      <c r="A153" s="219" t="s">
        <v>30</v>
      </c>
      <c r="B153" s="219"/>
      <c r="C153" s="219"/>
      <c r="D153" s="219"/>
      <c r="E153" s="219"/>
      <c r="F153" s="219"/>
      <c r="G153" s="219"/>
      <c r="H153" s="219"/>
      <c r="I153" s="219"/>
      <c r="J153" s="10"/>
      <c r="K153" s="176">
        <v>12</v>
      </c>
      <c r="L153" s="176">
        <v>12</v>
      </c>
      <c r="M153" s="176">
        <v>12</v>
      </c>
      <c r="N153" s="176">
        <v>12</v>
      </c>
      <c r="O153" s="176">
        <v>12</v>
      </c>
      <c r="P153" s="176">
        <v>12</v>
      </c>
      <c r="Q153" s="176">
        <v>12</v>
      </c>
      <c r="R153" s="176">
        <v>12</v>
      </c>
      <c r="S153" s="176">
        <v>12</v>
      </c>
      <c r="T153" s="176">
        <v>12</v>
      </c>
      <c r="U153" s="176">
        <v>12</v>
      </c>
      <c r="V153" s="176">
        <v>12</v>
      </c>
      <c r="W153" s="176">
        <v>12</v>
      </c>
      <c r="X153" s="176">
        <v>12</v>
      </c>
      <c r="Y153" s="176">
        <v>12</v>
      </c>
      <c r="Z153" s="217"/>
      <c r="AB153" s="175" t="str">
        <f>A153</f>
        <v>Bayer Leverkusen</v>
      </c>
    </row>
    <row r="154" spans="1:28" s="113" customFormat="1" ht="10.5" customHeight="1" x14ac:dyDescent="0.2">
      <c r="A154" s="177">
        <v>1</v>
      </c>
      <c r="B154" s="178" t="s">
        <v>158</v>
      </c>
      <c r="C154" s="178" t="s">
        <v>0</v>
      </c>
      <c r="D154" s="179" t="s">
        <v>59</v>
      </c>
      <c r="E154" s="179" t="s">
        <v>59</v>
      </c>
      <c r="F154" s="180" t="s">
        <v>59</v>
      </c>
      <c r="G154" s="180" t="s">
        <v>59</v>
      </c>
      <c r="H154" s="180"/>
      <c r="I154" s="179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>B154</f>
        <v>Lukas Hradecky (A)</v>
      </c>
    </row>
    <row r="155" spans="1:28" s="113" customFormat="1" ht="10.5" customHeight="1" x14ac:dyDescent="0.2">
      <c r="A155" s="177">
        <v>17</v>
      </c>
      <c r="B155" s="178" t="s">
        <v>665</v>
      </c>
      <c r="C155" s="178" t="s">
        <v>0</v>
      </c>
      <c r="D155" s="179" t="s">
        <v>59</v>
      </c>
      <c r="E155" s="179" t="s">
        <v>59</v>
      </c>
      <c r="F155" s="180" t="s">
        <v>59</v>
      </c>
      <c r="G155" s="180" t="s">
        <v>59</v>
      </c>
      <c r="H155" s="180"/>
      <c r="I155" s="179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ref="AB155" si="51">B155</f>
        <v>Matej Kovar (A)</v>
      </c>
    </row>
    <row r="156" spans="1:28" s="113" customFormat="1" ht="10.5" customHeight="1" x14ac:dyDescent="0.2">
      <c r="A156" s="177">
        <v>28</v>
      </c>
      <c r="B156" s="178" t="s">
        <v>455</v>
      </c>
      <c r="C156" s="178" t="s">
        <v>0</v>
      </c>
      <c r="D156" s="179" t="s">
        <v>59</v>
      </c>
      <c r="E156" s="179" t="s">
        <v>59</v>
      </c>
      <c r="F156" s="180" t="s">
        <v>59</v>
      </c>
      <c r="G156" s="180" t="s">
        <v>59</v>
      </c>
      <c r="H156" s="180"/>
      <c r="I156" s="179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ref="AB156" si="52">B156</f>
        <v>Patrick Penz (A)</v>
      </c>
    </row>
    <row r="157" spans="1:28" s="113" customFormat="1" ht="10.5" customHeight="1" x14ac:dyDescent="0.2">
      <c r="A157" s="177">
        <v>36</v>
      </c>
      <c r="B157" s="178" t="s">
        <v>192</v>
      </c>
      <c r="C157" s="178" t="s">
        <v>0</v>
      </c>
      <c r="D157" s="179" t="s">
        <v>59</v>
      </c>
      <c r="E157" s="179" t="s">
        <v>59</v>
      </c>
      <c r="F157" s="180" t="s">
        <v>59</v>
      </c>
      <c r="G157" s="180" t="s">
        <v>59</v>
      </c>
      <c r="H157" s="180"/>
      <c r="I157" s="179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ref="AB157" si="53">B157</f>
        <v>Niklas Lomb</v>
      </c>
    </row>
    <row r="158" spans="1:28" s="113" customFormat="1" ht="10.5" customHeight="1" x14ac:dyDescent="0.2">
      <c r="A158" s="198">
        <v>3</v>
      </c>
      <c r="B158" s="199" t="s">
        <v>333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:AB170" si="54">B158</f>
        <v>Piero Hincapie (A)</v>
      </c>
    </row>
    <row r="159" spans="1:28" s="113" customFormat="1" ht="10.5" customHeight="1" x14ac:dyDescent="0.2">
      <c r="A159" s="198">
        <v>4</v>
      </c>
      <c r="B159" s="199" t="s">
        <v>117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ref="AB159" si="55">B159</f>
        <v>Jonathan Tah</v>
      </c>
    </row>
    <row r="160" spans="1:28" s="113" customFormat="1" ht="10.5" customHeight="1" x14ac:dyDescent="0.2">
      <c r="A160" s="198">
        <v>6</v>
      </c>
      <c r="B160" s="199" t="s">
        <v>291</v>
      </c>
      <c r="C160" s="185" t="s">
        <v>1</v>
      </c>
      <c r="D160" s="186" t="s">
        <v>59</v>
      </c>
      <c r="E160" s="186" t="s">
        <v>59</v>
      </c>
      <c r="F160" s="187" t="s">
        <v>59</v>
      </c>
      <c r="G160" s="187" t="s">
        <v>59</v>
      </c>
      <c r="H160" s="187"/>
      <c r="I160" s="186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si="54"/>
        <v>Odilou Kossounou (A)</v>
      </c>
    </row>
    <row r="161" spans="1:28" s="113" customFormat="1" ht="10.5" customHeight="1" x14ac:dyDescent="0.2">
      <c r="A161" s="198">
        <v>12</v>
      </c>
      <c r="B161" s="199" t="s">
        <v>229</v>
      </c>
      <c r="C161" s="185" t="s">
        <v>1</v>
      </c>
      <c r="D161" s="186" t="s">
        <v>59</v>
      </c>
      <c r="E161" s="186" t="s">
        <v>59</v>
      </c>
      <c r="F161" s="187" t="s">
        <v>59</v>
      </c>
      <c r="G161" s="187" t="s">
        <v>59</v>
      </c>
      <c r="H161" s="187"/>
      <c r="I161" s="186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" si="56">B161</f>
        <v>Edmond Tapsoba (A)</v>
      </c>
    </row>
    <row r="162" spans="1:28" s="113" customFormat="1" ht="10.5" customHeight="1" x14ac:dyDescent="0.2">
      <c r="A162" s="198">
        <v>13</v>
      </c>
      <c r="B162" s="199" t="s">
        <v>505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4"/>
        <v>Arthur (A)</v>
      </c>
    </row>
    <row r="163" spans="1:28" s="113" customFormat="1" ht="10.5" customHeight="1" x14ac:dyDescent="0.2">
      <c r="A163" s="198">
        <v>20</v>
      </c>
      <c r="B163" s="199" t="s">
        <v>506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si="54"/>
        <v>Alejandro Grimaldi (A)</v>
      </c>
    </row>
    <row r="164" spans="1:28" s="113" customFormat="1" ht="10.5" customHeight="1" x14ac:dyDescent="0.2">
      <c r="A164" s="198">
        <v>24</v>
      </c>
      <c r="B164" s="199" t="s">
        <v>273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4"/>
        <v>Timothy Fosu-Mensah (A)</v>
      </c>
    </row>
    <row r="165" spans="1:28" s="113" customFormat="1" ht="10.5" customHeight="1" x14ac:dyDescent="0.2">
      <c r="A165" s="198">
        <v>30</v>
      </c>
      <c r="B165" s="199" t="s">
        <v>274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>
        <v>4</v>
      </c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4"/>
        <v>Jeremie Frimpong (A)</v>
      </c>
    </row>
    <row r="166" spans="1:28" s="113" customFormat="1" ht="10.5" customHeight="1" x14ac:dyDescent="0.2">
      <c r="A166" s="198">
        <v>31</v>
      </c>
      <c r="B166" s="199" t="s">
        <v>507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si="54"/>
        <v>Madi Monamay (A)</v>
      </c>
    </row>
    <row r="167" spans="1:28" s="113" customFormat="1" ht="10.5" customHeight="1" x14ac:dyDescent="0.2">
      <c r="A167" s="202">
        <v>7</v>
      </c>
      <c r="B167" s="203" t="s">
        <v>115</v>
      </c>
      <c r="C167" s="203" t="s">
        <v>2</v>
      </c>
      <c r="D167" s="191" t="s">
        <v>59</v>
      </c>
      <c r="E167" s="191" t="s">
        <v>59</v>
      </c>
      <c r="F167" s="192" t="s">
        <v>59</v>
      </c>
      <c r="G167" s="192" t="s">
        <v>59</v>
      </c>
      <c r="H167" s="192"/>
      <c r="I167" s="191"/>
      <c r="J167" s="181"/>
      <c r="K167" s="182">
        <v>7</v>
      </c>
      <c r="L167" s="182">
        <v>5</v>
      </c>
      <c r="M167" s="182"/>
      <c r="N167" s="182"/>
      <c r="O167" s="182"/>
      <c r="P167" s="182"/>
      <c r="Q167" s="182"/>
      <c r="R167" s="182">
        <v>5</v>
      </c>
      <c r="S167" s="182">
        <v>8</v>
      </c>
      <c r="T167" s="182"/>
      <c r="U167" s="182"/>
      <c r="V167" s="182"/>
      <c r="W167" s="182"/>
      <c r="X167" s="182"/>
      <c r="Y167" s="182"/>
      <c r="Z167" s="172"/>
      <c r="AB167" s="175" t="str">
        <f t="shared" ref="AB167" si="57">B167</f>
        <v>Jonas Hofmann</v>
      </c>
    </row>
    <row r="168" spans="1:28" s="113" customFormat="1" ht="10.5" customHeight="1" x14ac:dyDescent="0.2">
      <c r="A168" s="202">
        <v>8</v>
      </c>
      <c r="B168" s="203" t="s">
        <v>221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4"/>
        <v>Robert Andrich</v>
      </c>
    </row>
    <row r="169" spans="1:28" s="113" customFormat="1" ht="10.5" customHeight="1" x14ac:dyDescent="0.2">
      <c r="A169" s="202">
        <v>11</v>
      </c>
      <c r="B169" s="203" t="s">
        <v>365</v>
      </c>
      <c r="C169" s="203" t="s">
        <v>2</v>
      </c>
      <c r="D169" s="191" t="s">
        <v>59</v>
      </c>
      <c r="E169" s="191" t="s">
        <v>59</v>
      </c>
      <c r="F169" s="192" t="s">
        <v>59</v>
      </c>
      <c r="G169" s="192" t="s">
        <v>59</v>
      </c>
      <c r="H169" s="192"/>
      <c r="I169" s="191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ref="AB169" si="58">B169</f>
        <v>Nadiem Amiri</v>
      </c>
    </row>
    <row r="170" spans="1:28" s="113" customFormat="1" ht="10.5" customHeight="1" x14ac:dyDescent="0.2">
      <c r="A170" s="202">
        <v>18</v>
      </c>
      <c r="B170" s="203" t="s">
        <v>450</v>
      </c>
      <c r="C170" s="203" t="s">
        <v>2</v>
      </c>
      <c r="D170" s="191" t="s">
        <v>59</v>
      </c>
      <c r="E170" s="191" t="s">
        <v>59</v>
      </c>
      <c r="F170" s="192" t="s">
        <v>59</v>
      </c>
      <c r="G170" s="192" t="s">
        <v>59</v>
      </c>
      <c r="H170" s="192"/>
      <c r="I170" s="191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4"/>
        <v>Noah Mbamba (A)</v>
      </c>
    </row>
    <row r="171" spans="1:28" s="113" customFormat="1" ht="10.5" customHeight="1" x14ac:dyDescent="0.2">
      <c r="A171" s="202">
        <v>25</v>
      </c>
      <c r="B171" s="203" t="s">
        <v>225</v>
      </c>
      <c r="C171" s="203" t="s">
        <v>2</v>
      </c>
      <c r="D171" s="191" t="s">
        <v>59</v>
      </c>
      <c r="E171" s="191" t="s">
        <v>59</v>
      </c>
      <c r="F171" s="192" t="s">
        <v>59</v>
      </c>
      <c r="G171" s="192" t="s">
        <v>59</v>
      </c>
      <c r="H171" s="192"/>
      <c r="I171" s="191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59">B171</f>
        <v>Exequiel Palacios (A)</v>
      </c>
    </row>
    <row r="172" spans="1:28" s="113" customFormat="1" ht="10.5" customHeight="1" x14ac:dyDescent="0.2">
      <c r="A172" s="202">
        <v>27</v>
      </c>
      <c r="B172" s="203" t="s">
        <v>231</v>
      </c>
      <c r="C172" s="203" t="s">
        <v>2</v>
      </c>
      <c r="D172" s="191" t="s">
        <v>59</v>
      </c>
      <c r="E172" s="191" t="s">
        <v>59</v>
      </c>
      <c r="F172" s="192" t="s">
        <v>59</v>
      </c>
      <c r="G172" s="192" t="s">
        <v>59</v>
      </c>
      <c r="H172" s="192"/>
      <c r="I172" s="191"/>
      <c r="J172" s="181"/>
      <c r="K172" s="182"/>
      <c r="L172" s="182"/>
      <c r="M172" s="182"/>
      <c r="N172" s="182"/>
      <c r="O172" s="182"/>
      <c r="P172" s="182"/>
      <c r="Q172" s="182"/>
      <c r="R172" s="182">
        <v>6</v>
      </c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ref="AB172:AB175" si="60">B172</f>
        <v>Florian Wirtz</v>
      </c>
    </row>
    <row r="173" spans="1:28" s="113" customFormat="1" ht="10.5" customHeight="1" x14ac:dyDescent="0.2">
      <c r="A173" s="202">
        <v>32</v>
      </c>
      <c r="B173" s="203" t="s">
        <v>508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ref="AB173" si="61">B173</f>
        <v>Gustavo Puerta (A)</v>
      </c>
    </row>
    <row r="174" spans="1:28" s="113" customFormat="1" ht="10.5" customHeight="1" x14ac:dyDescent="0.2">
      <c r="A174" s="202">
        <v>34</v>
      </c>
      <c r="B174" s="203" t="s">
        <v>509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60"/>
        <v>Granit Xhaka (A)</v>
      </c>
    </row>
    <row r="175" spans="1:28" s="113" customFormat="1" ht="10.5" customHeight="1" x14ac:dyDescent="0.2">
      <c r="A175" s="202">
        <v>47</v>
      </c>
      <c r="B175" s="203" t="s">
        <v>510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72"/>
      <c r="AB175" s="175" t="str">
        <f t="shared" si="60"/>
        <v>Ayman Aourir</v>
      </c>
    </row>
    <row r="176" spans="1:28" s="113" customFormat="1" ht="10.5" customHeight="1" x14ac:dyDescent="0.2">
      <c r="A176" s="201">
        <v>9</v>
      </c>
      <c r="B176" s="195" t="s">
        <v>347</v>
      </c>
      <c r="C176" s="195" t="s">
        <v>3</v>
      </c>
      <c r="D176" s="196" t="s">
        <v>59</v>
      </c>
      <c r="E176" s="196" t="s">
        <v>59</v>
      </c>
      <c r="F176" s="197" t="s">
        <v>59</v>
      </c>
      <c r="G176" s="197" t="s">
        <v>59</v>
      </c>
      <c r="H176" s="197"/>
      <c r="I176" s="196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ref="AB176:AB180" si="62">B176</f>
        <v>Sardar Azmoun (A)</v>
      </c>
    </row>
    <row r="177" spans="1:28" s="113" customFormat="1" ht="10.5" customHeight="1" x14ac:dyDescent="0.2">
      <c r="A177" s="201">
        <v>14</v>
      </c>
      <c r="B177" s="195" t="s">
        <v>264</v>
      </c>
      <c r="C177" s="195" t="s">
        <v>3</v>
      </c>
      <c r="D177" s="196" t="s">
        <v>59</v>
      </c>
      <c r="E177" s="196" t="s">
        <v>59</v>
      </c>
      <c r="F177" s="197" t="s">
        <v>59</v>
      </c>
      <c r="G177" s="197" t="s">
        <v>59</v>
      </c>
      <c r="H177" s="197"/>
      <c r="I177" s="196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si="62"/>
        <v>Patrick Schick (A)</v>
      </c>
    </row>
    <row r="178" spans="1:28" s="113" customFormat="1" ht="10.5" customHeight="1" x14ac:dyDescent="0.2">
      <c r="A178" s="201">
        <v>21</v>
      </c>
      <c r="B178" s="195" t="s">
        <v>336</v>
      </c>
      <c r="C178" s="195" t="s">
        <v>3</v>
      </c>
      <c r="D178" s="196" t="s">
        <v>59</v>
      </c>
      <c r="E178" s="196" t="s">
        <v>59</v>
      </c>
      <c r="F178" s="197" t="s">
        <v>59</v>
      </c>
      <c r="G178" s="197" t="s">
        <v>59</v>
      </c>
      <c r="H178" s="197"/>
      <c r="I178" s="196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>B178</f>
        <v>Amine Adli (A)</v>
      </c>
    </row>
    <row r="179" spans="1:28" s="113" customFormat="1" ht="10.5" customHeight="1" x14ac:dyDescent="0.2">
      <c r="A179" s="201">
        <v>22</v>
      </c>
      <c r="B179" s="195" t="s">
        <v>511</v>
      </c>
      <c r="C179" s="195" t="s">
        <v>3</v>
      </c>
      <c r="D179" s="196" t="s">
        <v>59</v>
      </c>
      <c r="E179" s="196" t="s">
        <v>59</v>
      </c>
      <c r="F179" s="197" t="s">
        <v>59</v>
      </c>
      <c r="G179" s="197" t="s">
        <v>59</v>
      </c>
      <c r="H179" s="197"/>
      <c r="I179" s="196"/>
      <c r="J179" s="181"/>
      <c r="K179" s="182">
        <v>9</v>
      </c>
      <c r="L179" s="182"/>
      <c r="M179" s="182"/>
      <c r="N179" s="182">
        <v>11</v>
      </c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si="62"/>
        <v>Victor Boniface (A)</v>
      </c>
    </row>
    <row r="180" spans="1:28" s="113" customFormat="1" ht="10.5" customHeight="1" x14ac:dyDescent="0.2">
      <c r="A180" s="201">
        <v>23</v>
      </c>
      <c r="B180" s="195" t="s">
        <v>366</v>
      </c>
      <c r="C180" s="195" t="s">
        <v>3</v>
      </c>
      <c r="D180" s="196" t="s">
        <v>59</v>
      </c>
      <c r="E180" s="196" t="s">
        <v>59</v>
      </c>
      <c r="F180" s="197" t="s">
        <v>59</v>
      </c>
      <c r="G180" s="197" t="s">
        <v>59</v>
      </c>
      <c r="H180" s="197"/>
      <c r="I180" s="196"/>
      <c r="J180" s="181"/>
      <c r="K180" s="182"/>
      <c r="L180" s="182"/>
      <c r="M180" s="182">
        <v>11</v>
      </c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2"/>
        <v>Adam Hlousek (A)</v>
      </c>
    </row>
    <row r="181" spans="1:28" ht="15" customHeight="1" thickBot="1" x14ac:dyDescent="0.25">
      <c r="A181" s="220" t="s">
        <v>106</v>
      </c>
      <c r="B181" s="220"/>
      <c r="C181" s="220"/>
      <c r="D181" s="220"/>
      <c r="E181" s="220"/>
      <c r="F181" s="220"/>
      <c r="G181" s="220"/>
      <c r="H181" s="220"/>
      <c r="I181" s="220"/>
      <c r="J181" s="10"/>
      <c r="K181" s="176">
        <v>12</v>
      </c>
      <c r="L181" s="176">
        <v>12</v>
      </c>
      <c r="M181" s="176">
        <v>12</v>
      </c>
      <c r="N181" s="176">
        <v>12</v>
      </c>
      <c r="O181" s="176">
        <v>12</v>
      </c>
      <c r="P181" s="176">
        <v>12</v>
      </c>
      <c r="Q181" s="176">
        <v>12</v>
      </c>
      <c r="R181" s="176">
        <v>12</v>
      </c>
      <c r="S181" s="176">
        <v>12</v>
      </c>
      <c r="T181" s="176">
        <v>12</v>
      </c>
      <c r="U181" s="176">
        <v>12</v>
      </c>
      <c r="V181" s="176">
        <v>12</v>
      </c>
      <c r="W181" s="176">
        <v>12</v>
      </c>
      <c r="X181" s="176">
        <v>12</v>
      </c>
      <c r="Y181" s="176">
        <v>12</v>
      </c>
      <c r="Z181" s="217"/>
      <c r="AB181" s="175" t="str">
        <f>A181</f>
        <v>Eintracht Frankfurt</v>
      </c>
    </row>
    <row r="182" spans="1:28" ht="10.5" customHeight="1" x14ac:dyDescent="0.2">
      <c r="A182" s="177">
        <v>1</v>
      </c>
      <c r="B182" s="178" t="s">
        <v>197</v>
      </c>
      <c r="C182" s="178" t="s">
        <v>0</v>
      </c>
      <c r="D182" s="179" t="s">
        <v>59</v>
      </c>
      <c r="E182" s="179" t="s">
        <v>59</v>
      </c>
      <c r="F182" s="180" t="s">
        <v>59</v>
      </c>
      <c r="G182" s="180" t="s">
        <v>59</v>
      </c>
      <c r="H182" s="180"/>
      <c r="I182" s="179"/>
      <c r="J182" s="181"/>
      <c r="K182" s="182">
        <v>1</v>
      </c>
      <c r="L182" s="182">
        <v>1</v>
      </c>
      <c r="M182" s="182">
        <v>1</v>
      </c>
      <c r="N182" s="182">
        <v>1</v>
      </c>
      <c r="O182" s="182"/>
      <c r="P182" s="182">
        <v>1</v>
      </c>
      <c r="Q182" s="182">
        <v>1</v>
      </c>
      <c r="R182" s="182">
        <v>1</v>
      </c>
      <c r="S182" s="182">
        <v>1</v>
      </c>
      <c r="T182" s="182"/>
      <c r="U182" s="182"/>
      <c r="V182" s="182"/>
      <c r="W182" s="182"/>
      <c r="X182" s="182"/>
      <c r="Y182" s="182"/>
      <c r="AB182" s="175" t="str">
        <f t="shared" ref="AB182:AB185" si="63">B182</f>
        <v>Kevin Trapp</v>
      </c>
    </row>
    <row r="183" spans="1:28" ht="10.5" customHeight="1" x14ac:dyDescent="0.2">
      <c r="A183" s="177">
        <v>31</v>
      </c>
      <c r="B183" s="178" t="s">
        <v>254</v>
      </c>
      <c r="C183" s="178" t="s">
        <v>0</v>
      </c>
      <c r="D183" s="179" t="s">
        <v>59</v>
      </c>
      <c r="E183" s="179" t="s">
        <v>59</v>
      </c>
      <c r="F183" s="180" t="s">
        <v>59</v>
      </c>
      <c r="G183" s="180" t="s">
        <v>59</v>
      </c>
      <c r="H183" s="180"/>
      <c r="I183" s="179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AB183" s="175" t="str">
        <f t="shared" ref="AB183" si="64">B183</f>
        <v>Jens Grahl</v>
      </c>
    </row>
    <row r="184" spans="1:28" ht="10.5" customHeight="1" x14ac:dyDescent="0.2">
      <c r="A184" s="177">
        <v>41</v>
      </c>
      <c r="B184" s="178" t="s">
        <v>512</v>
      </c>
      <c r="C184" s="178" t="s">
        <v>0</v>
      </c>
      <c r="D184" s="179" t="s">
        <v>59</v>
      </c>
      <c r="E184" s="179" t="s">
        <v>59</v>
      </c>
      <c r="F184" s="180" t="s">
        <v>59</v>
      </c>
      <c r="G184" s="180" t="s">
        <v>59</v>
      </c>
      <c r="H184" s="180"/>
      <c r="I184" s="179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ref="AB184" si="65">B184</f>
        <v>Simon Simoni (A)</v>
      </c>
    </row>
    <row r="185" spans="1:28" ht="10.5" customHeight="1" x14ac:dyDescent="0.2">
      <c r="A185" s="198">
        <v>3</v>
      </c>
      <c r="B185" s="199" t="s">
        <v>513</v>
      </c>
      <c r="C185" s="185" t="s">
        <v>1</v>
      </c>
      <c r="D185" s="186" t="s">
        <v>59</v>
      </c>
      <c r="E185" s="186" t="s">
        <v>59</v>
      </c>
      <c r="F185" s="187" t="s">
        <v>59</v>
      </c>
      <c r="G185" s="187" t="s">
        <v>59</v>
      </c>
      <c r="H185" s="187"/>
      <c r="I185" s="18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 t="shared" si="63"/>
        <v>Willian Pacho (A)</v>
      </c>
    </row>
    <row r="186" spans="1:28" ht="10.5" customHeight="1" x14ac:dyDescent="0.2">
      <c r="A186" s="198">
        <v>4</v>
      </c>
      <c r="B186" s="199" t="s">
        <v>514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>
        <v>3</v>
      </c>
      <c r="L186" s="182"/>
      <c r="M186" s="182"/>
      <c r="N186" s="182">
        <v>3</v>
      </c>
      <c r="O186" s="182">
        <v>4</v>
      </c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 t="shared" ref="AB186:AB194" si="66">B186</f>
        <v>Robin Koch</v>
      </c>
    </row>
    <row r="187" spans="1:28" ht="10.5" customHeight="1" x14ac:dyDescent="0.2">
      <c r="A187" s="198">
        <v>5</v>
      </c>
      <c r="B187" s="199" t="s">
        <v>389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 t="shared" si="66"/>
        <v>Hrvoje Smolcic (A)</v>
      </c>
    </row>
    <row r="188" spans="1:28" ht="10.5" customHeight="1" x14ac:dyDescent="0.2">
      <c r="A188" s="198">
        <v>20</v>
      </c>
      <c r="B188" s="199" t="s">
        <v>66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Makoto Hasebe (A)</v>
      </c>
    </row>
    <row r="189" spans="1:28" ht="10.5" customHeight="1" x14ac:dyDescent="0.2">
      <c r="A189" s="198">
        <v>24</v>
      </c>
      <c r="B189" s="199" t="s">
        <v>390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si="66"/>
        <v>Aurelio Buta (A)</v>
      </c>
    </row>
    <row r="190" spans="1:28" ht="10.5" customHeight="1" x14ac:dyDescent="0.2">
      <c r="A190" s="198">
        <v>25</v>
      </c>
      <c r="B190" s="199" t="s">
        <v>217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Christopher Lenz</v>
      </c>
    </row>
    <row r="191" spans="1:28" ht="10.5" customHeight="1" x14ac:dyDescent="0.2">
      <c r="A191" s="198">
        <v>31</v>
      </c>
      <c r="B191" s="199" t="s">
        <v>465</v>
      </c>
      <c r="C191" s="185" t="s">
        <v>1</v>
      </c>
      <c r="D191" s="186" t="s">
        <v>59</v>
      </c>
      <c r="E191" s="186" t="s">
        <v>59</v>
      </c>
      <c r="F191" s="187" t="s">
        <v>59</v>
      </c>
      <c r="G191" s="187" t="s">
        <v>59</v>
      </c>
      <c r="H191" s="187"/>
      <c r="I191" s="186"/>
      <c r="J191" s="181"/>
      <c r="K191" s="182"/>
      <c r="L191" s="182"/>
      <c r="M191" s="182"/>
      <c r="N191" s="182"/>
      <c r="O191" s="182"/>
      <c r="P191" s="182"/>
      <c r="Q191" s="182"/>
      <c r="R191" s="182">
        <v>3</v>
      </c>
      <c r="S191" s="182"/>
      <c r="T191" s="182"/>
      <c r="U191" s="182"/>
      <c r="V191" s="182"/>
      <c r="W191" s="182"/>
      <c r="X191" s="182"/>
      <c r="Y191" s="182"/>
      <c r="AB191" s="175" t="str">
        <f>B191</f>
        <v>Philipp Max</v>
      </c>
    </row>
    <row r="192" spans="1:28" ht="10.5" customHeight="1" x14ac:dyDescent="0.2">
      <c r="A192" s="198">
        <v>35</v>
      </c>
      <c r="B192" s="199" t="s">
        <v>247</v>
      </c>
      <c r="C192" s="185" t="s">
        <v>1</v>
      </c>
      <c r="D192" s="186" t="s">
        <v>59</v>
      </c>
      <c r="E192" s="186" t="s">
        <v>59</v>
      </c>
      <c r="F192" s="187" t="s">
        <v>59</v>
      </c>
      <c r="G192" s="187" t="s">
        <v>59</v>
      </c>
      <c r="H192" s="187"/>
      <c r="I192" s="186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 t="shared" si="66"/>
        <v>Tuta (A)</v>
      </c>
    </row>
    <row r="193" spans="1:28" ht="10.5" customHeight="1" x14ac:dyDescent="0.2">
      <c r="A193" s="198">
        <v>46</v>
      </c>
      <c r="B193" s="199" t="s">
        <v>515</v>
      </c>
      <c r="C193" s="185" t="s">
        <v>1</v>
      </c>
      <c r="D193" s="186" t="s">
        <v>59</v>
      </c>
      <c r="E193" s="186" t="s">
        <v>59</v>
      </c>
      <c r="F193" s="187" t="s">
        <v>59</v>
      </c>
      <c r="G193" s="187" t="s">
        <v>59</v>
      </c>
      <c r="H193" s="187"/>
      <c r="I193" s="186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ref="AB193" si="67">B193</f>
        <v>Dario Gebuhr</v>
      </c>
    </row>
    <row r="194" spans="1:28" ht="10.5" customHeight="1" x14ac:dyDescent="0.2">
      <c r="A194" s="198">
        <v>47</v>
      </c>
      <c r="B194" s="199" t="s">
        <v>516</v>
      </c>
      <c r="C194" s="185" t="s">
        <v>1</v>
      </c>
      <c r="D194" s="186" t="s">
        <v>59</v>
      </c>
      <c r="E194" s="186" t="s">
        <v>59</v>
      </c>
      <c r="F194" s="187" t="s">
        <v>59</v>
      </c>
      <c r="G194" s="187" t="s">
        <v>59</v>
      </c>
      <c r="H194" s="187"/>
      <c r="I194" s="186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66"/>
        <v>Elias Baum</v>
      </c>
    </row>
    <row r="195" spans="1:28" ht="10.5" customHeight="1" x14ac:dyDescent="0.2">
      <c r="A195" s="200">
        <v>6</v>
      </c>
      <c r="B195" s="190" t="s">
        <v>335</v>
      </c>
      <c r="C195" s="190" t="s">
        <v>2</v>
      </c>
      <c r="D195" s="191" t="s">
        <v>59</v>
      </c>
      <c r="E195" s="191" t="s">
        <v>59</v>
      </c>
      <c r="F195" s="192" t="s">
        <v>59</v>
      </c>
      <c r="G195" s="192" t="s">
        <v>59</v>
      </c>
      <c r="H195" s="192"/>
      <c r="I195" s="191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ref="AB195:AB199" si="68">B195</f>
        <v>Kristijan Jakic (A)</v>
      </c>
    </row>
    <row r="196" spans="1:28" ht="10.5" customHeight="1" x14ac:dyDescent="0.2">
      <c r="A196" s="200">
        <v>15</v>
      </c>
      <c r="B196" s="190" t="s">
        <v>213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si="68"/>
        <v>Ellyes Skhiri (A)</v>
      </c>
    </row>
    <row r="197" spans="1:28" ht="10.5" customHeight="1" x14ac:dyDescent="0.2">
      <c r="A197" s="200">
        <v>16</v>
      </c>
      <c r="B197" s="190" t="s">
        <v>517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68"/>
        <v>Hugo Larsson (A)</v>
      </c>
    </row>
    <row r="198" spans="1:28" ht="10.5" customHeight="1" x14ac:dyDescent="0.2">
      <c r="A198" s="200">
        <v>17</v>
      </c>
      <c r="B198" s="190" t="s">
        <v>111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68"/>
        <v>Sebastian Rode</v>
      </c>
    </row>
    <row r="199" spans="1:28" ht="10.5" customHeight="1" x14ac:dyDescent="0.2">
      <c r="A199" s="200">
        <v>22</v>
      </c>
      <c r="B199" s="190" t="s">
        <v>98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8"/>
        <v>Timothy Chandler</v>
      </c>
    </row>
    <row r="200" spans="1:28" ht="10.5" customHeight="1" x14ac:dyDescent="0.2">
      <c r="A200" s="200">
        <v>26</v>
      </c>
      <c r="B200" s="190" t="s">
        <v>433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Eric Junior Dina Ebimbe (A)</v>
      </c>
    </row>
    <row r="201" spans="1:28" ht="10.5" customHeight="1" x14ac:dyDescent="0.2">
      <c r="A201" s="200">
        <v>27</v>
      </c>
      <c r="B201" s="190" t="s">
        <v>391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>
        <v>7</v>
      </c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 t="shared" ref="AB201:AB204" si="69">B201</f>
        <v>Mario Götze</v>
      </c>
    </row>
    <row r="202" spans="1:28" ht="10.5" customHeight="1" x14ac:dyDescent="0.2">
      <c r="A202" s="200">
        <v>28</v>
      </c>
      <c r="B202" s="190" t="s">
        <v>392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 t="shared" si="69"/>
        <v>Marcel Wenig</v>
      </c>
    </row>
    <row r="203" spans="1:28" ht="10.5" customHeight="1" x14ac:dyDescent="0.2">
      <c r="A203" s="200">
        <v>29</v>
      </c>
      <c r="B203" s="190" t="s">
        <v>289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69"/>
        <v>Jesper Lindström (A)</v>
      </c>
    </row>
    <row r="204" spans="1:28" ht="10.5" customHeight="1" x14ac:dyDescent="0.2">
      <c r="A204" s="200">
        <v>30</v>
      </c>
      <c r="B204" s="190" t="s">
        <v>448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si="69"/>
        <v>Paxton Aaronson (A)</v>
      </c>
    </row>
    <row r="205" spans="1:28" ht="10.5" customHeight="1" x14ac:dyDescent="0.2">
      <c r="A205" s="200">
        <v>44</v>
      </c>
      <c r="B205" s="190" t="s">
        <v>518</v>
      </c>
      <c r="C205" s="190" t="s">
        <v>2</v>
      </c>
      <c r="D205" s="191" t="s">
        <v>59</v>
      </c>
      <c r="E205" s="191" t="s">
        <v>59</v>
      </c>
      <c r="F205" s="192" t="s">
        <v>59</v>
      </c>
      <c r="G205" s="192" t="s">
        <v>59</v>
      </c>
      <c r="H205" s="192"/>
      <c r="I205" s="191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>B205</f>
        <v>Davis Bautista (A)</v>
      </c>
    </row>
    <row r="206" spans="1:28" ht="10.5" customHeight="1" x14ac:dyDescent="0.2">
      <c r="A206" s="200">
        <v>45</v>
      </c>
      <c r="B206" s="190" t="s">
        <v>393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ref="AB206:AB207" si="70">B206</f>
        <v>Mehdi Loune</v>
      </c>
    </row>
    <row r="207" spans="1:28" ht="10.5" customHeight="1" x14ac:dyDescent="0.2">
      <c r="A207" s="200">
        <v>49</v>
      </c>
      <c r="B207" s="190" t="s">
        <v>519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si="70"/>
        <v>Harpreet Ghotra</v>
      </c>
    </row>
    <row r="208" spans="1:28" ht="10.5" customHeight="1" x14ac:dyDescent="0.2">
      <c r="A208" s="201">
        <v>7</v>
      </c>
      <c r="B208" s="195" t="s">
        <v>337</v>
      </c>
      <c r="C208" s="195" t="s">
        <v>3</v>
      </c>
      <c r="D208" s="196" t="s">
        <v>59</v>
      </c>
      <c r="E208" s="196" t="s">
        <v>59</v>
      </c>
      <c r="F208" s="197" t="s">
        <v>59</v>
      </c>
      <c r="G208" s="197" t="s">
        <v>59</v>
      </c>
      <c r="H208" s="197"/>
      <c r="I208" s="196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ref="AB208:AB214" si="71">B208</f>
        <v>Omar Marmoush (A)</v>
      </c>
    </row>
    <row r="209" spans="1:28" ht="10.5" customHeight="1" x14ac:dyDescent="0.2">
      <c r="A209" s="201">
        <v>9</v>
      </c>
      <c r="B209" s="195" t="s">
        <v>394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>
        <v>9</v>
      </c>
      <c r="M209" s="182"/>
      <c r="N209" s="182"/>
      <c r="O209" s="182">
        <v>11</v>
      </c>
      <c r="P209" s="182">
        <v>10</v>
      </c>
      <c r="Q209" s="182">
        <v>11</v>
      </c>
      <c r="R209" s="182"/>
      <c r="S209" s="182">
        <v>11</v>
      </c>
      <c r="T209" s="182"/>
      <c r="U209" s="182"/>
      <c r="V209" s="182"/>
      <c r="W209" s="182"/>
      <c r="X209" s="182"/>
      <c r="Y209" s="182"/>
      <c r="AB209" s="175" t="str">
        <f t="shared" ref="AB209:AB211" si="72">B209</f>
        <v>Randal Kolo Muani (A)</v>
      </c>
    </row>
    <row r="210" spans="1:28" ht="10.5" customHeight="1" x14ac:dyDescent="0.2">
      <c r="A210" s="201">
        <v>11</v>
      </c>
      <c r="B210" s="195" t="s">
        <v>395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2"/>
        <v>Faride Alidou</v>
      </c>
    </row>
    <row r="211" spans="1:28" ht="10.5" customHeight="1" x14ac:dyDescent="0.2">
      <c r="A211" s="201">
        <v>18</v>
      </c>
      <c r="B211" s="195" t="s">
        <v>232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2"/>
        <v>Jessic Ngankam</v>
      </c>
    </row>
    <row r="212" spans="1:28" ht="10.5" customHeight="1" x14ac:dyDescent="0.2">
      <c r="A212" s="201">
        <v>19</v>
      </c>
      <c r="B212" s="195" t="s">
        <v>290</v>
      </c>
      <c r="C212" s="195" t="s">
        <v>3</v>
      </c>
      <c r="D212" s="196" t="s">
        <v>59</v>
      </c>
      <c r="E212" s="196" t="s">
        <v>59</v>
      </c>
      <c r="F212" s="197" t="s">
        <v>59</v>
      </c>
      <c r="G212" s="197" t="s">
        <v>59</v>
      </c>
      <c r="H212" s="197"/>
      <c r="I212" s="196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 t="shared" si="71"/>
        <v>Rafael Borre (A)</v>
      </c>
    </row>
    <row r="213" spans="1:28" ht="10.5" customHeight="1" x14ac:dyDescent="0.2">
      <c r="A213" s="201">
        <v>21</v>
      </c>
      <c r="B213" s="195" t="s">
        <v>169</v>
      </c>
      <c r="C213" s="195" t="s">
        <v>3</v>
      </c>
      <c r="D213" s="196" t="s">
        <v>59</v>
      </c>
      <c r="E213" s="196" t="s">
        <v>59</v>
      </c>
      <c r="F213" s="197" t="s">
        <v>59</v>
      </c>
      <c r="G213" s="197" t="s">
        <v>59</v>
      </c>
      <c r="H213" s="197"/>
      <c r="I213" s="196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si="71"/>
        <v>Lucas Alario (A)</v>
      </c>
    </row>
    <row r="214" spans="1:28" ht="10.5" customHeight="1" x14ac:dyDescent="0.2">
      <c r="A214" s="201">
        <v>23</v>
      </c>
      <c r="B214" s="195" t="s">
        <v>520</v>
      </c>
      <c r="C214" s="195" t="s">
        <v>3</v>
      </c>
      <c r="D214" s="196" t="s">
        <v>59</v>
      </c>
      <c r="E214" s="196" t="s">
        <v>59</v>
      </c>
      <c r="F214" s="197" t="s">
        <v>59</v>
      </c>
      <c r="G214" s="197" t="s">
        <v>59</v>
      </c>
      <c r="H214" s="197"/>
      <c r="I214" s="196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 t="shared" si="71"/>
        <v>Jens Petter Hauge</v>
      </c>
    </row>
    <row r="215" spans="1:28" ht="10.5" customHeight="1" x14ac:dyDescent="0.2">
      <c r="A215" s="201">
        <v>34</v>
      </c>
      <c r="B215" s="195" t="s">
        <v>521</v>
      </c>
      <c r="C215" s="195" t="s">
        <v>3</v>
      </c>
      <c r="D215" s="196" t="s">
        <v>59</v>
      </c>
      <c r="E215" s="196" t="s">
        <v>59</v>
      </c>
      <c r="F215" s="197" t="s">
        <v>59</v>
      </c>
      <c r="G215" s="197" t="s">
        <v>59</v>
      </c>
      <c r="H215" s="197"/>
      <c r="I215" s="196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 t="shared" ref="AB215:AB217" si="73">B215</f>
        <v>Igor Matanovic (A)</v>
      </c>
    </row>
    <row r="216" spans="1:28" ht="10.5" customHeight="1" x14ac:dyDescent="0.2">
      <c r="A216" s="201">
        <v>36</v>
      </c>
      <c r="B216" s="195" t="s">
        <v>270</v>
      </c>
      <c r="C216" s="195" t="s">
        <v>3</v>
      </c>
      <c r="D216" s="196" t="s">
        <v>59</v>
      </c>
      <c r="E216" s="196" t="s">
        <v>59</v>
      </c>
      <c r="F216" s="197" t="s">
        <v>59</v>
      </c>
      <c r="G216" s="197" t="s">
        <v>59</v>
      </c>
      <c r="H216" s="197"/>
      <c r="I216" s="196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si="73"/>
        <v>Ansgar Knauff</v>
      </c>
    </row>
    <row r="217" spans="1:28" ht="10.5" customHeight="1" x14ac:dyDescent="0.2">
      <c r="A217" s="201">
        <v>43</v>
      </c>
      <c r="B217" s="195" t="s">
        <v>522</v>
      </c>
      <c r="C217" s="195" t="s">
        <v>3</v>
      </c>
      <c r="D217" s="196" t="s">
        <v>59</v>
      </c>
      <c r="E217" s="196" t="s">
        <v>59</v>
      </c>
      <c r="F217" s="197" t="s">
        <v>59</v>
      </c>
      <c r="G217" s="197" t="s">
        <v>59</v>
      </c>
      <c r="H217" s="197"/>
      <c r="I217" s="19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si="73"/>
        <v>Noel Futkeu</v>
      </c>
    </row>
    <row r="218" spans="1:28" ht="10.5" customHeight="1" x14ac:dyDescent="0.2">
      <c r="A218" s="201"/>
      <c r="B218" s="195" t="s">
        <v>523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" si="74">B218</f>
        <v>Nnamdi Collins</v>
      </c>
    </row>
    <row r="219" spans="1:28" ht="15" customHeight="1" thickBot="1" x14ac:dyDescent="0.25">
      <c r="A219" s="219" t="s">
        <v>31</v>
      </c>
      <c r="B219" s="219"/>
      <c r="C219" s="219"/>
      <c r="D219" s="219"/>
      <c r="E219" s="219"/>
      <c r="F219" s="219"/>
      <c r="G219" s="219"/>
      <c r="H219" s="219"/>
      <c r="I219" s="219"/>
      <c r="J219" s="10"/>
      <c r="K219" s="176">
        <v>12</v>
      </c>
      <c r="L219" s="176">
        <v>12</v>
      </c>
      <c r="M219" s="176">
        <v>12</v>
      </c>
      <c r="N219" s="176">
        <v>12</v>
      </c>
      <c r="O219" s="176">
        <v>12</v>
      </c>
      <c r="P219" s="176">
        <v>12</v>
      </c>
      <c r="Q219" s="176">
        <v>12</v>
      </c>
      <c r="R219" s="176">
        <v>12</v>
      </c>
      <c r="S219" s="176">
        <v>12</v>
      </c>
      <c r="T219" s="176">
        <v>12</v>
      </c>
      <c r="U219" s="176">
        <v>12</v>
      </c>
      <c r="V219" s="176">
        <v>12</v>
      </c>
      <c r="W219" s="176">
        <v>12</v>
      </c>
      <c r="X219" s="176">
        <v>12</v>
      </c>
      <c r="Y219" s="176">
        <v>12</v>
      </c>
      <c r="Z219" s="217"/>
      <c r="AB219" s="175" t="str">
        <f>A219</f>
        <v>VfL Wolfsburg</v>
      </c>
    </row>
    <row r="220" spans="1:28" s="113" customFormat="1" ht="10.5" customHeight="1" x14ac:dyDescent="0.2">
      <c r="A220" s="177">
        <v>1</v>
      </c>
      <c r="B220" s="178" t="s">
        <v>101</v>
      </c>
      <c r="C220" s="178" t="s">
        <v>0</v>
      </c>
      <c r="D220" s="179" t="s">
        <v>59</v>
      </c>
      <c r="E220" s="179" t="s">
        <v>59</v>
      </c>
      <c r="F220" s="180" t="s">
        <v>59</v>
      </c>
      <c r="G220" s="180" t="s">
        <v>59</v>
      </c>
      <c r="H220" s="180"/>
      <c r="I220" s="179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 t="shared" ref="AB220" si="75">B220</f>
        <v>Koen Casteels (A)</v>
      </c>
    </row>
    <row r="221" spans="1:28" s="113" customFormat="1" ht="10.5" customHeight="1" x14ac:dyDescent="0.2">
      <c r="A221" s="177">
        <v>12</v>
      </c>
      <c r="B221" s="178" t="s">
        <v>177</v>
      </c>
      <c r="C221" s="178" t="s">
        <v>0</v>
      </c>
      <c r="D221" s="179" t="s">
        <v>59</v>
      </c>
      <c r="E221" s="179" t="s">
        <v>59</v>
      </c>
      <c r="F221" s="180" t="s">
        <v>59</v>
      </c>
      <c r="G221" s="180" t="s">
        <v>59</v>
      </c>
      <c r="H221" s="180"/>
      <c r="I221" s="179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 t="shared" ref="AB221:AB223" si="76">B221</f>
        <v>Pavao Pervan (A)</v>
      </c>
    </row>
    <row r="222" spans="1:28" s="113" customFormat="1" ht="10.5" customHeight="1" x14ac:dyDescent="0.2">
      <c r="A222" s="177">
        <v>30</v>
      </c>
      <c r="B222" s="178" t="s">
        <v>194</v>
      </c>
      <c r="C222" s="178" t="s">
        <v>0</v>
      </c>
      <c r="D222" s="179" t="s">
        <v>59</v>
      </c>
      <c r="E222" s="179" t="s">
        <v>59</v>
      </c>
      <c r="F222" s="180" t="s">
        <v>59</v>
      </c>
      <c r="G222" s="180" t="s">
        <v>59</v>
      </c>
      <c r="H222" s="180"/>
      <c r="I222" s="179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ref="AB222" si="77">B222</f>
        <v>Niklas Klinger</v>
      </c>
    </row>
    <row r="223" spans="1:28" s="113" customFormat="1" ht="10.5" customHeight="1" x14ac:dyDescent="0.2">
      <c r="A223" s="177">
        <v>35</v>
      </c>
      <c r="B223" s="178" t="s">
        <v>286</v>
      </c>
      <c r="C223" s="178" t="s">
        <v>0</v>
      </c>
      <c r="D223" s="179" t="s">
        <v>59</v>
      </c>
      <c r="E223" s="179" t="s">
        <v>59</v>
      </c>
      <c r="F223" s="180" t="s">
        <v>59</v>
      </c>
      <c r="G223" s="180" t="s">
        <v>59</v>
      </c>
      <c r="H223" s="180"/>
      <c r="I223" s="179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si="76"/>
        <v>Philipp Schulze</v>
      </c>
    </row>
    <row r="224" spans="1:28" s="113" customFormat="1" ht="10.5" customHeight="1" x14ac:dyDescent="0.2">
      <c r="A224" s="198">
        <v>2</v>
      </c>
      <c r="B224" s="199" t="s">
        <v>396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78">B224</f>
        <v>Kilian Fischer</v>
      </c>
    </row>
    <row r="225" spans="1:28" s="113" customFormat="1" ht="10.5" customHeight="1" x14ac:dyDescent="0.2">
      <c r="A225" s="198">
        <v>3</v>
      </c>
      <c r="B225" s="199" t="s">
        <v>212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:AB229" si="79">B225</f>
        <v>Sebastiaan Bornauw (A)</v>
      </c>
    </row>
    <row r="226" spans="1:28" s="113" customFormat="1" ht="10.5" customHeight="1" x14ac:dyDescent="0.2">
      <c r="A226" s="198">
        <v>4</v>
      </c>
      <c r="B226" s="199" t="s">
        <v>244</v>
      </c>
      <c r="C226" s="185" t="s">
        <v>1</v>
      </c>
      <c r="D226" s="186" t="s">
        <v>59</v>
      </c>
      <c r="E226" s="186" t="s">
        <v>59</v>
      </c>
      <c r="F226" s="187" t="s">
        <v>59</v>
      </c>
      <c r="G226" s="187" t="s">
        <v>59</v>
      </c>
      <c r="H226" s="187"/>
      <c r="I226" s="186"/>
      <c r="J226" s="181"/>
      <c r="K226" s="182"/>
      <c r="L226" s="182"/>
      <c r="M226" s="182"/>
      <c r="N226" s="182"/>
      <c r="O226" s="182"/>
      <c r="P226" s="182">
        <v>2</v>
      </c>
      <c r="Q226" s="182">
        <v>3</v>
      </c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si="79"/>
        <v>Maxence Lacroix (A)</v>
      </c>
    </row>
    <row r="227" spans="1:28" s="113" customFormat="1" ht="10.5" customHeight="1" x14ac:dyDescent="0.2">
      <c r="A227" s="198">
        <v>8</v>
      </c>
      <c r="B227" s="199" t="s">
        <v>458</v>
      </c>
      <c r="C227" s="185" t="s">
        <v>1</v>
      </c>
      <c r="D227" s="186" t="s">
        <v>59</v>
      </c>
      <c r="E227" s="186" t="s">
        <v>59</v>
      </c>
      <c r="F227" s="187" t="s">
        <v>59</v>
      </c>
      <c r="G227" s="187" t="s">
        <v>59</v>
      </c>
      <c r="H227" s="187"/>
      <c r="I227" s="186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>B227</f>
        <v>Nicolas Cozza (A)</v>
      </c>
    </row>
    <row r="228" spans="1:28" s="113" customFormat="1" ht="10.5" customHeight="1" x14ac:dyDescent="0.2">
      <c r="A228" s="198">
        <v>13</v>
      </c>
      <c r="B228" s="199" t="s">
        <v>524</v>
      </c>
      <c r="C228" s="185" t="s">
        <v>1</v>
      </c>
      <c r="D228" s="186" t="s">
        <v>59</v>
      </c>
      <c r="E228" s="186" t="s">
        <v>59</v>
      </c>
      <c r="F228" s="187" t="s">
        <v>59</v>
      </c>
      <c r="G228" s="187" t="s">
        <v>59</v>
      </c>
      <c r="H228" s="187"/>
      <c r="I228" s="186"/>
      <c r="J228" s="181"/>
      <c r="K228" s="182"/>
      <c r="L228" s="182"/>
      <c r="M228" s="182"/>
      <c r="N228" s="182"/>
      <c r="O228" s="182">
        <v>5</v>
      </c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79"/>
        <v>Rogerio (A)</v>
      </c>
    </row>
    <row r="229" spans="1:28" s="113" customFormat="1" ht="10.5" customHeight="1" x14ac:dyDescent="0.2">
      <c r="A229" s="198">
        <v>21</v>
      </c>
      <c r="B229" s="199" t="s">
        <v>655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si="79"/>
        <v>Joakim Maehle (A)</v>
      </c>
    </row>
    <row r="230" spans="1:28" s="113" customFormat="1" ht="10.5" customHeight="1" x14ac:dyDescent="0.2">
      <c r="A230" s="198">
        <v>25</v>
      </c>
      <c r="B230" s="199" t="s">
        <v>525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1" si="80">B230</f>
        <v>Moritz Jenz (A)</v>
      </c>
    </row>
    <row r="231" spans="1:28" s="113" customFormat="1" ht="10.5" customHeight="1" x14ac:dyDescent="0.2">
      <c r="A231" s="198">
        <v>33</v>
      </c>
      <c r="B231" s="199" t="s">
        <v>526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>
        <v>3</v>
      </c>
      <c r="T231" s="182"/>
      <c r="U231" s="182"/>
      <c r="V231" s="182"/>
      <c r="W231" s="182"/>
      <c r="X231" s="182"/>
      <c r="Y231" s="182"/>
      <c r="Z231" s="172"/>
      <c r="AB231" s="175" t="str">
        <f t="shared" si="80"/>
        <v>Cedric Zesiger (A)</v>
      </c>
    </row>
    <row r="232" spans="1:28" s="113" customFormat="1" ht="10.5" customHeight="1" x14ac:dyDescent="0.2">
      <c r="A232" s="198">
        <v>37</v>
      </c>
      <c r="B232" s="199" t="s">
        <v>437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ref="AB232" si="81">B232</f>
        <v>Felix Lange</v>
      </c>
    </row>
    <row r="233" spans="1:28" s="113" customFormat="1" ht="10.5" customHeight="1" x14ac:dyDescent="0.2">
      <c r="A233" s="200">
        <v>6</v>
      </c>
      <c r="B233" s="190" t="s">
        <v>527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ref="AB233:AB244" si="82">B233</f>
        <v>Aster Vranckx (A)</v>
      </c>
    </row>
    <row r="234" spans="1:28" s="113" customFormat="1" ht="10.5" customHeight="1" x14ac:dyDescent="0.2">
      <c r="A234" s="200">
        <v>7</v>
      </c>
      <c r="B234" s="190" t="s">
        <v>528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ref="AB234:AB241" si="83">B234</f>
        <v>Vaclav Cerny (A)</v>
      </c>
    </row>
    <row r="235" spans="1:28" s="113" customFormat="1" ht="10.5" customHeight="1" x14ac:dyDescent="0.2">
      <c r="A235" s="200">
        <v>16</v>
      </c>
      <c r="B235" s="190" t="s">
        <v>397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si="83"/>
        <v>Jakub Kaminski (A)</v>
      </c>
    </row>
    <row r="236" spans="1:28" s="113" customFormat="1" ht="10.5" customHeight="1" x14ac:dyDescent="0.2">
      <c r="A236" s="200">
        <v>17</v>
      </c>
      <c r="B236" s="190" t="s">
        <v>268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3"/>
        <v>Maximilian Philipp</v>
      </c>
    </row>
    <row r="237" spans="1:28" s="113" customFormat="1" ht="10.5" customHeight="1" x14ac:dyDescent="0.2">
      <c r="A237" s="200">
        <v>19</v>
      </c>
      <c r="B237" s="190" t="s">
        <v>672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" si="84">B237</f>
        <v>Lovro Majer (A)</v>
      </c>
    </row>
    <row r="238" spans="1:28" s="113" customFormat="1" ht="10.5" customHeight="1" x14ac:dyDescent="0.2">
      <c r="A238" s="200">
        <v>20</v>
      </c>
      <c r="B238" s="190" t="s">
        <v>202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3"/>
        <v>Ridle Baku</v>
      </c>
    </row>
    <row r="239" spans="1:28" s="113" customFormat="1" ht="10.5" customHeight="1" x14ac:dyDescent="0.2">
      <c r="A239" s="200">
        <v>27</v>
      </c>
      <c r="B239" s="190" t="s">
        <v>108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3"/>
        <v>Maximilian Arnold</v>
      </c>
    </row>
    <row r="240" spans="1:28" s="113" customFormat="1" ht="10.5" customHeight="1" x14ac:dyDescent="0.2">
      <c r="A240" s="200">
        <v>31</v>
      </c>
      <c r="B240" s="190" t="s">
        <v>178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>
        <v>6</v>
      </c>
      <c r="O240" s="182">
        <v>7</v>
      </c>
      <c r="P240" s="182">
        <v>6</v>
      </c>
      <c r="Q240" s="182">
        <v>5</v>
      </c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3"/>
        <v>Yannick Gerhardt</v>
      </c>
    </row>
    <row r="241" spans="1:28" s="113" customFormat="1" ht="10.5" customHeight="1" x14ac:dyDescent="0.2">
      <c r="A241" s="200">
        <v>32</v>
      </c>
      <c r="B241" s="190" t="s">
        <v>398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3"/>
        <v>Mattias Svanberg (A)</v>
      </c>
    </row>
    <row r="242" spans="1:28" s="113" customFormat="1" ht="10.5" customHeight="1" x14ac:dyDescent="0.2">
      <c r="A242" s="200">
        <v>36</v>
      </c>
      <c r="B242" s="190" t="s">
        <v>459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2"/>
        <v>Lukas Ambros (A)</v>
      </c>
    </row>
    <row r="243" spans="1:28" s="113" customFormat="1" ht="10.5" customHeight="1" x14ac:dyDescent="0.2">
      <c r="A243" s="200">
        <v>38</v>
      </c>
      <c r="B243" s="190" t="s">
        <v>399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2"/>
        <v>Bartol Franjic (A)</v>
      </c>
    </row>
    <row r="244" spans="1:28" s="113" customFormat="1" ht="10.5" customHeight="1" x14ac:dyDescent="0.2">
      <c r="A244" s="200">
        <v>39</v>
      </c>
      <c r="B244" s="190" t="s">
        <v>314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2"/>
        <v>Patrick Wimmer (A)</v>
      </c>
    </row>
    <row r="245" spans="1:28" s="113" customFormat="1" ht="10.5" customHeight="1" x14ac:dyDescent="0.2">
      <c r="A245" s="200">
        <v>40</v>
      </c>
      <c r="B245" s="190" t="s">
        <v>345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ref="AB245:AB246" si="85">B245</f>
        <v>Kevin Paredes (A)</v>
      </c>
    </row>
    <row r="246" spans="1:28" s="113" customFormat="1" ht="10.5" customHeight="1" x14ac:dyDescent="0.2">
      <c r="A246" s="200" t="s">
        <v>59</v>
      </c>
      <c r="B246" s="190" t="s">
        <v>529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si="85"/>
        <v>Ulysses Llanez (A)</v>
      </c>
    </row>
    <row r="247" spans="1:28" s="113" customFormat="1" ht="10.5" customHeight="1" x14ac:dyDescent="0.2">
      <c r="A247" s="201">
        <v>10</v>
      </c>
      <c r="B247" s="195" t="s">
        <v>288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ref="AB247" si="86">B247</f>
        <v>Lukas Nmecha</v>
      </c>
    </row>
    <row r="248" spans="1:28" s="113" customFormat="1" ht="10.5" customHeight="1" x14ac:dyDescent="0.2">
      <c r="A248" s="201">
        <v>11</v>
      </c>
      <c r="B248" s="195" t="s">
        <v>348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:AB249" si="87">B248</f>
        <v>Tiago Tomas (A)</v>
      </c>
    </row>
    <row r="249" spans="1:28" s="113" customFormat="1" ht="10.5" customHeight="1" x14ac:dyDescent="0.2">
      <c r="A249" s="201">
        <v>18</v>
      </c>
      <c r="B249" s="195" t="s">
        <v>400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si="87"/>
        <v>Dzenan Pejcinovic</v>
      </c>
    </row>
    <row r="250" spans="1:28" s="113" customFormat="1" ht="10.5" customHeight="1" x14ac:dyDescent="0.2">
      <c r="A250" s="201">
        <v>23</v>
      </c>
      <c r="B250" s="195" t="s">
        <v>346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88">B250</f>
        <v>Jonas Wind (A)</v>
      </c>
    </row>
    <row r="251" spans="1:28" ht="15" customHeight="1" thickBot="1" x14ac:dyDescent="0.25">
      <c r="A251" s="220" t="s">
        <v>114</v>
      </c>
      <c r="B251" s="220"/>
      <c r="C251" s="220"/>
      <c r="D251" s="220"/>
      <c r="E251" s="220"/>
      <c r="F251" s="220"/>
      <c r="G251" s="220"/>
      <c r="H251" s="220"/>
      <c r="I251" s="220"/>
      <c r="J251" s="10"/>
      <c r="K251" s="176">
        <v>12</v>
      </c>
      <c r="L251" s="176">
        <v>12</v>
      </c>
      <c r="M251" s="176">
        <v>12</v>
      </c>
      <c r="N251" s="176">
        <v>12</v>
      </c>
      <c r="O251" s="176">
        <v>12</v>
      </c>
      <c r="P251" s="176">
        <v>12</v>
      </c>
      <c r="Q251" s="176">
        <v>12</v>
      </c>
      <c r="R251" s="176">
        <v>12</v>
      </c>
      <c r="S251" s="176">
        <v>12</v>
      </c>
      <c r="T251" s="176">
        <v>12</v>
      </c>
      <c r="U251" s="176">
        <v>12</v>
      </c>
      <c r="V251" s="176">
        <v>12</v>
      </c>
      <c r="W251" s="176">
        <v>12</v>
      </c>
      <c r="X251" s="176">
        <v>12</v>
      </c>
      <c r="Y251" s="176">
        <v>12</v>
      </c>
      <c r="Z251" s="217"/>
      <c r="AB251" s="175" t="str">
        <f>A251</f>
        <v>1. FSV Mainz</v>
      </c>
    </row>
    <row r="252" spans="1:28" ht="10.5" customHeight="1" x14ac:dyDescent="0.2">
      <c r="A252" s="177">
        <v>1</v>
      </c>
      <c r="B252" s="178" t="s">
        <v>308</v>
      </c>
      <c r="C252" s="178" t="s">
        <v>0</v>
      </c>
      <c r="D252" s="179" t="s">
        <v>59</v>
      </c>
      <c r="E252" s="179" t="s">
        <v>59</v>
      </c>
      <c r="F252" s="180" t="s">
        <v>59</v>
      </c>
      <c r="G252" s="180" t="s">
        <v>59</v>
      </c>
      <c r="H252" s="180"/>
      <c r="I252" s="179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ref="AB252" si="89">B252</f>
        <v>Lasse Riess</v>
      </c>
    </row>
    <row r="253" spans="1:28" ht="10.5" customHeight="1" x14ac:dyDescent="0.2">
      <c r="A253" s="177">
        <v>27</v>
      </c>
      <c r="B253" s="178" t="s">
        <v>173</v>
      </c>
      <c r="C253" s="178" t="s">
        <v>0</v>
      </c>
      <c r="D253" s="179" t="s">
        <v>59</v>
      </c>
      <c r="E253" s="179" t="s">
        <v>59</v>
      </c>
      <c r="F253" s="180" t="s">
        <v>59</v>
      </c>
      <c r="G253" s="180" t="s">
        <v>59</v>
      </c>
      <c r="H253" s="180"/>
      <c r="I253" s="179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ref="AB253:AB254" si="90">B253</f>
        <v>Robin Zentner</v>
      </c>
    </row>
    <row r="254" spans="1:28" ht="10.5" customHeight="1" x14ac:dyDescent="0.2">
      <c r="A254" s="177">
        <v>33</v>
      </c>
      <c r="B254" s="178" t="s">
        <v>530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si="90"/>
        <v>Daniel Batz</v>
      </c>
    </row>
    <row r="255" spans="1:28" ht="10.5" customHeight="1" x14ac:dyDescent="0.2">
      <c r="A255" s="198">
        <v>3</v>
      </c>
      <c r="B255" s="199" t="s">
        <v>438</v>
      </c>
      <c r="C255" s="185" t="s">
        <v>1</v>
      </c>
      <c r="D255" s="186" t="s">
        <v>59</v>
      </c>
      <c r="E255" s="186" t="s">
        <v>59</v>
      </c>
      <c r="F255" s="187" t="s">
        <v>59</v>
      </c>
      <c r="G255" s="187" t="s">
        <v>59</v>
      </c>
      <c r="H255" s="187"/>
      <c r="I255" s="186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" si="91">B255</f>
        <v>Sepp van den Berg (A)</v>
      </c>
    </row>
    <row r="256" spans="1:28" ht="10.5" customHeight="1" x14ac:dyDescent="0.2">
      <c r="A256" s="198">
        <v>5</v>
      </c>
      <c r="B256" s="199" t="s">
        <v>328</v>
      </c>
      <c r="C256" s="185" t="s">
        <v>1</v>
      </c>
      <c r="D256" s="186" t="s">
        <v>59</v>
      </c>
      <c r="E256" s="186" t="s">
        <v>59</v>
      </c>
      <c r="F256" s="187" t="s">
        <v>59</v>
      </c>
      <c r="G256" s="187" t="s">
        <v>59</v>
      </c>
      <c r="H256" s="187"/>
      <c r="I256" s="186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ref="AB256:AB262" si="92">B256</f>
        <v>Maxim Leitsch</v>
      </c>
    </row>
    <row r="257" spans="1:28" ht="10.5" customHeight="1" x14ac:dyDescent="0.2">
      <c r="A257" s="198">
        <v>16</v>
      </c>
      <c r="B257" s="199" t="s">
        <v>107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2"/>
        <v>Stefan Bell</v>
      </c>
    </row>
    <row r="258" spans="1:28" ht="10.5" customHeight="1" x14ac:dyDescent="0.2">
      <c r="A258" s="198">
        <v>17</v>
      </c>
      <c r="B258" s="199" t="s">
        <v>381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2"/>
        <v>Anthony Caci (A)</v>
      </c>
    </row>
    <row r="259" spans="1:28" ht="10.5" customHeight="1" x14ac:dyDescent="0.2">
      <c r="A259" s="198">
        <v>20</v>
      </c>
      <c r="B259" s="199" t="s">
        <v>382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2"/>
        <v>Edimilson Fernandes (A)</v>
      </c>
    </row>
    <row r="260" spans="1:28" ht="10.5" customHeight="1" x14ac:dyDescent="0.2">
      <c r="A260" s="198">
        <v>22</v>
      </c>
      <c r="B260" s="199" t="s">
        <v>127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" si="93">B260</f>
        <v>Danny da Costa</v>
      </c>
    </row>
    <row r="261" spans="1:28" ht="10.5" customHeight="1" x14ac:dyDescent="0.2">
      <c r="A261" s="198">
        <v>25</v>
      </c>
      <c r="B261" s="199" t="s">
        <v>470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2"/>
        <v>Andreas Hanche-Olsen (A)</v>
      </c>
    </row>
    <row r="262" spans="1:28" ht="10.5" customHeight="1" x14ac:dyDescent="0.2">
      <c r="A262" s="198">
        <v>30</v>
      </c>
      <c r="B262" s="199" t="s">
        <v>309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2"/>
        <v>Silvan Widmer (A)</v>
      </c>
    </row>
    <row r="263" spans="1:28" ht="10.5" customHeight="1" x14ac:dyDescent="0.2">
      <c r="A263" s="200">
        <v>4</v>
      </c>
      <c r="B263" s="190" t="s">
        <v>248</v>
      </c>
      <c r="C263" s="190" t="s">
        <v>2</v>
      </c>
      <c r="D263" s="191" t="s">
        <v>59</v>
      </c>
      <c r="E263" s="191" t="s">
        <v>59</v>
      </c>
      <c r="F263" s="192" t="s">
        <v>59</v>
      </c>
      <c r="G263" s="192" t="s">
        <v>59</v>
      </c>
      <c r="H263" s="192"/>
      <c r="I263" s="191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4">B263</f>
        <v>Aymen Barkok</v>
      </c>
    </row>
    <row r="264" spans="1:28" ht="10.5" customHeight="1" x14ac:dyDescent="0.2">
      <c r="A264" s="200">
        <v>6</v>
      </c>
      <c r="B264" s="190" t="s">
        <v>310</v>
      </c>
      <c r="C264" s="190" t="s">
        <v>2</v>
      </c>
      <c r="D264" s="191" t="s">
        <v>59</v>
      </c>
      <c r="E264" s="191" t="s">
        <v>59</v>
      </c>
      <c r="F264" s="192" t="s">
        <v>59</v>
      </c>
      <c r="G264" s="192" t="s">
        <v>59</v>
      </c>
      <c r="H264" s="192"/>
      <c r="I264" s="191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ref="AB264:AB267" si="95">B264</f>
        <v>Anton Stach</v>
      </c>
    </row>
    <row r="265" spans="1:28" ht="10.5" customHeight="1" x14ac:dyDescent="0.2">
      <c r="A265" s="200">
        <v>7</v>
      </c>
      <c r="B265" s="190" t="s">
        <v>311</v>
      </c>
      <c r="C265" s="190" t="s">
        <v>2</v>
      </c>
      <c r="D265" s="191" t="s">
        <v>59</v>
      </c>
      <c r="E265" s="191" t="s">
        <v>59</v>
      </c>
      <c r="F265" s="192" t="s">
        <v>59</v>
      </c>
      <c r="G265" s="192" t="s">
        <v>59</v>
      </c>
      <c r="H265" s="192"/>
      <c r="I265" s="191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si="95"/>
        <v>Jae-Sung Lee</v>
      </c>
    </row>
    <row r="266" spans="1:28" ht="10.5" customHeight="1" x14ac:dyDescent="0.2">
      <c r="A266" s="200">
        <v>8</v>
      </c>
      <c r="B266" s="190" t="s">
        <v>230</v>
      </c>
      <c r="C266" s="190" t="s">
        <v>2</v>
      </c>
      <c r="D266" s="191" t="s">
        <v>59</v>
      </c>
      <c r="E266" s="191" t="s">
        <v>59</v>
      </c>
      <c r="F266" s="192" t="s">
        <v>59</v>
      </c>
      <c r="G266" s="192" t="s">
        <v>59</v>
      </c>
      <c r="H266" s="192"/>
      <c r="I266" s="191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5"/>
        <v>Leandro Barreiro (A)</v>
      </c>
    </row>
    <row r="267" spans="1:28" ht="10.5" customHeight="1" x14ac:dyDescent="0.2">
      <c r="A267" s="200">
        <v>14</v>
      </c>
      <c r="B267" s="190" t="s">
        <v>408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95"/>
        <v>Tom Krauss</v>
      </c>
    </row>
    <row r="268" spans="1:28" ht="10.5" customHeight="1" x14ac:dyDescent="0.2">
      <c r="A268" s="200">
        <v>31</v>
      </c>
      <c r="B268" s="190" t="s">
        <v>110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ref="AB268:AB269" si="96">B268</f>
        <v>Dominik Kohr</v>
      </c>
    </row>
    <row r="269" spans="1:28" ht="10.5" customHeight="1" x14ac:dyDescent="0.2">
      <c r="A269" s="200">
        <v>41</v>
      </c>
      <c r="B269" s="190" t="s">
        <v>350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si="96"/>
        <v>Eniss Shabani</v>
      </c>
    </row>
    <row r="270" spans="1:28" ht="10.5" customHeight="1" x14ac:dyDescent="0.2">
      <c r="A270" s="200">
        <v>45</v>
      </c>
      <c r="B270" s="190" t="s">
        <v>658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" si="97">B270</f>
        <v>David Mamutovic</v>
      </c>
    </row>
    <row r="271" spans="1:28" ht="10.5" customHeight="1" x14ac:dyDescent="0.2">
      <c r="A271" s="201">
        <v>9</v>
      </c>
      <c r="B271" s="195" t="s">
        <v>135</v>
      </c>
      <c r="C271" s="195" t="s">
        <v>3</v>
      </c>
      <c r="D271" s="196" t="s">
        <v>59</v>
      </c>
      <c r="E271" s="196" t="s">
        <v>59</v>
      </c>
      <c r="F271" s="197" t="s">
        <v>59</v>
      </c>
      <c r="G271" s="197" t="s">
        <v>59</v>
      </c>
      <c r="H271" s="197"/>
      <c r="I271" s="196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>B271</f>
        <v>Karim Onisiwo (A)</v>
      </c>
    </row>
    <row r="272" spans="1:28" ht="10.5" customHeight="1" x14ac:dyDescent="0.2">
      <c r="A272" s="201">
        <v>17</v>
      </c>
      <c r="B272" s="195" t="s">
        <v>457</v>
      </c>
      <c r="C272" s="195" t="s">
        <v>3</v>
      </c>
      <c r="D272" s="196" t="s">
        <v>59</v>
      </c>
      <c r="E272" s="196" t="s">
        <v>59</v>
      </c>
      <c r="F272" s="197" t="s">
        <v>59</v>
      </c>
      <c r="G272" s="197" t="s">
        <v>59</v>
      </c>
      <c r="H272" s="197"/>
      <c r="I272" s="196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ref="AB272:AB275" si="98">B272</f>
        <v>Ludovic Ajorque (A)</v>
      </c>
    </row>
    <row r="273" spans="1:28" ht="10.5" customHeight="1" x14ac:dyDescent="0.2">
      <c r="A273" s="201">
        <v>29</v>
      </c>
      <c r="B273" s="195" t="s">
        <v>203</v>
      </c>
      <c r="C273" s="195" t="s">
        <v>3</v>
      </c>
      <c r="D273" s="196" t="s">
        <v>59</v>
      </c>
      <c r="E273" s="196" t="s">
        <v>59</v>
      </c>
      <c r="F273" s="197" t="s">
        <v>59</v>
      </c>
      <c r="G273" s="197" t="s">
        <v>59</v>
      </c>
      <c r="H273" s="197"/>
      <c r="I273" s="196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" si="99">B273</f>
        <v>Jonathan Burkardt</v>
      </c>
    </row>
    <row r="274" spans="1:28" ht="10.5" customHeight="1" x14ac:dyDescent="0.2">
      <c r="A274" s="201">
        <v>43</v>
      </c>
      <c r="B274" s="195" t="s">
        <v>461</v>
      </c>
      <c r="C274" s="195" t="s">
        <v>3</v>
      </c>
      <c r="D274" s="196" t="s">
        <v>59</v>
      </c>
      <c r="E274" s="196" t="s">
        <v>59</v>
      </c>
      <c r="F274" s="197" t="s">
        <v>59</v>
      </c>
      <c r="G274" s="197" t="s">
        <v>59</v>
      </c>
      <c r="H274" s="197"/>
      <c r="I274" s="196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98"/>
        <v>Brajan Gruda</v>
      </c>
    </row>
    <row r="275" spans="1:28" ht="10.5" customHeight="1" x14ac:dyDescent="0.2">
      <c r="A275" s="201">
        <v>44</v>
      </c>
      <c r="B275" s="195" t="s">
        <v>443</v>
      </c>
      <c r="C275" s="195" t="s">
        <v>3</v>
      </c>
      <c r="D275" s="196" t="s">
        <v>59</v>
      </c>
      <c r="E275" s="196" t="s">
        <v>59</v>
      </c>
      <c r="F275" s="197" t="s">
        <v>59</v>
      </c>
      <c r="G275" s="197" t="s">
        <v>59</v>
      </c>
      <c r="H275" s="197"/>
      <c r="I275" s="19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98"/>
        <v>Nelson Weiper</v>
      </c>
    </row>
    <row r="276" spans="1:28" ht="15" customHeight="1" thickBot="1" x14ac:dyDescent="0.25">
      <c r="A276" s="219" t="s">
        <v>69</v>
      </c>
      <c r="B276" s="219"/>
      <c r="C276" s="219"/>
      <c r="D276" s="219"/>
      <c r="E276" s="219"/>
      <c r="F276" s="219"/>
      <c r="G276" s="219"/>
      <c r="H276" s="219"/>
      <c r="I276" s="219"/>
      <c r="J276" s="10"/>
      <c r="K276" s="176">
        <v>12</v>
      </c>
      <c r="L276" s="176">
        <v>12</v>
      </c>
      <c r="M276" s="176">
        <v>12</v>
      </c>
      <c r="N276" s="176">
        <v>12</v>
      </c>
      <c r="O276" s="176">
        <v>12</v>
      </c>
      <c r="P276" s="176">
        <v>12</v>
      </c>
      <c r="Q276" s="176">
        <v>12</v>
      </c>
      <c r="R276" s="176">
        <v>12</v>
      </c>
      <c r="S276" s="176">
        <v>12</v>
      </c>
      <c r="T276" s="176">
        <v>12</v>
      </c>
      <c r="U276" s="176"/>
      <c r="V276" s="176">
        <v>12</v>
      </c>
      <c r="W276" s="176">
        <v>12</v>
      </c>
      <c r="X276" s="176">
        <v>12</v>
      </c>
      <c r="Y276" s="176">
        <v>12</v>
      </c>
      <c r="Z276" s="217"/>
      <c r="AB276" s="175" t="str">
        <f>A276</f>
        <v>Bor. M'gladbach</v>
      </c>
    </row>
    <row r="277" spans="1:28" ht="10.5" customHeight="1" x14ac:dyDescent="0.2">
      <c r="A277" s="177">
        <v>1</v>
      </c>
      <c r="B277" s="178" t="s">
        <v>451</v>
      </c>
      <c r="C277" s="178" t="s">
        <v>0</v>
      </c>
      <c r="D277" s="179" t="s">
        <v>59</v>
      </c>
      <c r="E277" s="179" t="s">
        <v>59</v>
      </c>
      <c r="F277" s="180" t="s">
        <v>59</v>
      </c>
      <c r="G277" s="180" t="s">
        <v>59</v>
      </c>
      <c r="H277" s="180"/>
      <c r="I277" s="179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:AB294" si="100">B277</f>
        <v>Jonas Omlin (A)</v>
      </c>
    </row>
    <row r="278" spans="1:28" ht="10.5" customHeight="1" x14ac:dyDescent="0.2">
      <c r="A278" s="177">
        <v>21</v>
      </c>
      <c r="B278" s="178" t="s">
        <v>124</v>
      </c>
      <c r="C278" s="178" t="s">
        <v>0</v>
      </c>
      <c r="D278" s="179" t="s">
        <v>59</v>
      </c>
      <c r="E278" s="179" t="s">
        <v>59</v>
      </c>
      <c r="F278" s="180" t="s">
        <v>59</v>
      </c>
      <c r="G278" s="180" t="s">
        <v>59</v>
      </c>
      <c r="H278" s="180"/>
      <c r="I278" s="179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1" si="101">B278</f>
        <v>Tobias Sippel</v>
      </c>
    </row>
    <row r="279" spans="1:28" ht="10.5" customHeight="1" x14ac:dyDescent="0.2">
      <c r="A279" s="177">
        <v>33</v>
      </c>
      <c r="B279" s="178" t="s">
        <v>531</v>
      </c>
      <c r="C279" s="178" t="s">
        <v>0</v>
      </c>
      <c r="D279" s="179" t="s">
        <v>59</v>
      </c>
      <c r="E279" s="179" t="s">
        <v>59</v>
      </c>
      <c r="F279" s="180" t="s">
        <v>59</v>
      </c>
      <c r="G279" s="180" t="s">
        <v>59</v>
      </c>
      <c r="H279" s="180"/>
      <c r="I279" s="179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1"/>
        <v>Moritz Nicolas</v>
      </c>
    </row>
    <row r="280" spans="1:28" ht="10.5" customHeight="1" x14ac:dyDescent="0.2">
      <c r="A280" s="177">
        <v>41</v>
      </c>
      <c r="B280" s="178" t="s">
        <v>242</v>
      </c>
      <c r="C280" s="178" t="s">
        <v>0</v>
      </c>
      <c r="D280" s="179" t="s">
        <v>59</v>
      </c>
      <c r="E280" s="179" t="s">
        <v>59</v>
      </c>
      <c r="F280" s="180" t="s">
        <v>59</v>
      </c>
      <c r="G280" s="180" t="s">
        <v>59</v>
      </c>
      <c r="H280" s="180"/>
      <c r="I280" s="179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ref="AB280" si="102">B280</f>
        <v>Jan Olschowsky</v>
      </c>
    </row>
    <row r="281" spans="1:28" ht="10.5" customHeight="1" x14ac:dyDescent="0.2">
      <c r="A281" s="177">
        <v>43</v>
      </c>
      <c r="B281" s="178" t="s">
        <v>532</v>
      </c>
      <c r="C281" s="178" t="s">
        <v>0</v>
      </c>
      <c r="D281" s="179" t="s">
        <v>59</v>
      </c>
      <c r="E281" s="179" t="s">
        <v>59</v>
      </c>
      <c r="F281" s="180" t="s">
        <v>59</v>
      </c>
      <c r="G281" s="180" t="s">
        <v>59</v>
      </c>
      <c r="H281" s="180"/>
      <c r="I281" s="179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1"/>
        <v>Max Brüll</v>
      </c>
    </row>
    <row r="282" spans="1:28" ht="10.5" customHeight="1" x14ac:dyDescent="0.2">
      <c r="A282" s="198">
        <v>2</v>
      </c>
      <c r="B282" s="199" t="s">
        <v>420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:AB287" si="103">B282</f>
        <v>Fabio Chiarodia</v>
      </c>
    </row>
    <row r="283" spans="1:28" ht="10.5" customHeight="1" x14ac:dyDescent="0.2">
      <c r="A283" s="198">
        <v>3</v>
      </c>
      <c r="B283" s="199" t="s">
        <v>385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>
        <v>4</v>
      </c>
      <c r="T283" s="182"/>
      <c r="U283" s="182"/>
      <c r="V283" s="182"/>
      <c r="W283" s="182"/>
      <c r="X283" s="182"/>
      <c r="Y283" s="182"/>
      <c r="AB283" s="175" t="str">
        <f t="shared" si="103"/>
        <v>Ko Itakura (A)</v>
      </c>
    </row>
    <row r="284" spans="1:28" ht="10.5" customHeight="1" x14ac:dyDescent="0.2">
      <c r="A284" s="198">
        <v>5</v>
      </c>
      <c r="B284" s="199" t="s">
        <v>216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3"/>
        <v>Marvin Friedrich</v>
      </c>
    </row>
    <row r="285" spans="1:28" ht="10.5" customHeight="1" x14ac:dyDescent="0.2">
      <c r="A285" s="198">
        <v>18</v>
      </c>
      <c r="B285" s="199" t="s">
        <v>193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3"/>
        <v>Stefan Lainer (A)</v>
      </c>
    </row>
    <row r="286" spans="1:28" ht="10.5" customHeight="1" x14ac:dyDescent="0.2">
      <c r="A286" s="198">
        <v>20</v>
      </c>
      <c r="B286" s="199" t="s">
        <v>234</v>
      </c>
      <c r="C286" s="185" t="s">
        <v>1</v>
      </c>
      <c r="D286" s="186" t="s">
        <v>59</v>
      </c>
      <c r="E286" s="186" t="s">
        <v>59</v>
      </c>
      <c r="F286" s="187" t="s">
        <v>59</v>
      </c>
      <c r="G286" s="187" t="s">
        <v>59</v>
      </c>
      <c r="H286" s="187"/>
      <c r="I286" s="186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3"/>
        <v>Luca Netz</v>
      </c>
    </row>
    <row r="287" spans="1:28" ht="10.5" customHeight="1" x14ac:dyDescent="0.2">
      <c r="A287" s="198">
        <v>24</v>
      </c>
      <c r="B287" s="199" t="s">
        <v>82</v>
      </c>
      <c r="C287" s="185" t="s">
        <v>1</v>
      </c>
      <c r="D287" s="186" t="s">
        <v>59</v>
      </c>
      <c r="E287" s="186" t="s">
        <v>59</v>
      </c>
      <c r="F287" s="187" t="s">
        <v>59</v>
      </c>
      <c r="G287" s="187" t="s">
        <v>59</v>
      </c>
      <c r="H287" s="187"/>
      <c r="I287" s="186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3"/>
        <v>Tony Jantschke</v>
      </c>
    </row>
    <row r="288" spans="1:28" ht="10.5" customHeight="1" x14ac:dyDescent="0.2">
      <c r="A288" s="198">
        <v>26</v>
      </c>
      <c r="B288" s="199" t="s">
        <v>533</v>
      </c>
      <c r="C288" s="185" t="s">
        <v>1</v>
      </c>
      <c r="D288" s="186" t="s">
        <v>59</v>
      </c>
      <c r="E288" s="186" t="s">
        <v>59</v>
      </c>
      <c r="F288" s="187" t="s">
        <v>59</v>
      </c>
      <c r="G288" s="187" t="s">
        <v>59</v>
      </c>
      <c r="H288" s="187"/>
      <c r="I288" s="186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:AB292" si="104">B288</f>
        <v>Lukas Ullrich</v>
      </c>
    </row>
    <row r="289" spans="1:28" ht="10.5" customHeight="1" x14ac:dyDescent="0.2">
      <c r="A289" s="198">
        <v>29</v>
      </c>
      <c r="B289" s="199" t="s">
        <v>272</v>
      </c>
      <c r="C289" s="185" t="s">
        <v>1</v>
      </c>
      <c r="D289" s="186" t="s">
        <v>59</v>
      </c>
      <c r="E289" s="186" t="s">
        <v>59</v>
      </c>
      <c r="F289" s="187" t="s">
        <v>59</v>
      </c>
      <c r="G289" s="187" t="s">
        <v>59</v>
      </c>
      <c r="H289" s="187"/>
      <c r="I289" s="186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04"/>
        <v>Joe Scally (A)</v>
      </c>
    </row>
    <row r="290" spans="1:28" ht="10.5" customHeight="1" x14ac:dyDescent="0.2">
      <c r="A290" s="198">
        <v>30</v>
      </c>
      <c r="B290" s="199" t="s">
        <v>125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4"/>
        <v>Nico Elvedi (A)</v>
      </c>
    </row>
    <row r="291" spans="1:28" ht="10.5" customHeight="1" x14ac:dyDescent="0.2">
      <c r="A291" s="198">
        <v>39</v>
      </c>
      <c r="B291" s="199" t="s">
        <v>534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>
        <v>3</v>
      </c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4"/>
        <v>Maximilian Wöber (A)</v>
      </c>
    </row>
    <row r="292" spans="1:28" ht="10.5" customHeight="1" x14ac:dyDescent="0.2">
      <c r="A292" s="198">
        <v>45</v>
      </c>
      <c r="B292" s="199" t="s">
        <v>535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4"/>
        <v>Simon Walde</v>
      </c>
    </row>
    <row r="293" spans="1:28" ht="10.5" customHeight="1" x14ac:dyDescent="0.2">
      <c r="A293" s="200">
        <v>8</v>
      </c>
      <c r="B293" s="190" t="s">
        <v>436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00"/>
        <v>Julian Weigl</v>
      </c>
    </row>
    <row r="294" spans="1:28" ht="10.5" customHeight="1" x14ac:dyDescent="0.2">
      <c r="A294" s="200">
        <v>9</v>
      </c>
      <c r="B294" s="190" t="s">
        <v>536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00"/>
        <v>Franck Honorat (A)</v>
      </c>
    </row>
    <row r="295" spans="1:28" ht="10.5" customHeight="1" x14ac:dyDescent="0.2">
      <c r="A295" s="200">
        <v>11</v>
      </c>
      <c r="B295" s="190" t="s">
        <v>386</v>
      </c>
      <c r="C295" s="190" t="s">
        <v>2</v>
      </c>
      <c r="D295" s="191" t="s">
        <v>59</v>
      </c>
      <c r="E295" s="191" t="s">
        <v>59</v>
      </c>
      <c r="F295" s="192" t="s">
        <v>59</v>
      </c>
      <c r="G295" s="192" t="s">
        <v>59</v>
      </c>
      <c r="H295" s="192"/>
      <c r="I295" s="191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ref="AB295:AB299" si="105">B295</f>
        <v>Hannes Wolf (A)</v>
      </c>
    </row>
    <row r="296" spans="1:28" ht="10.5" customHeight="1" x14ac:dyDescent="0.2">
      <c r="A296" s="200">
        <v>17</v>
      </c>
      <c r="B296" s="190" t="s">
        <v>296</v>
      </c>
      <c r="C296" s="190" t="s">
        <v>2</v>
      </c>
      <c r="D296" s="191" t="s">
        <v>59</v>
      </c>
      <c r="E296" s="191" t="s">
        <v>59</v>
      </c>
      <c r="F296" s="192" t="s">
        <v>59</v>
      </c>
      <c r="G296" s="192" t="s">
        <v>59</v>
      </c>
      <c r="H296" s="192"/>
      <c r="I296" s="191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si="105"/>
        <v>Kouadio Kone (A)</v>
      </c>
    </row>
    <row r="297" spans="1:28" ht="10.5" customHeight="1" x14ac:dyDescent="0.2">
      <c r="A297" s="200">
        <v>19</v>
      </c>
      <c r="B297" s="190" t="s">
        <v>435</v>
      </c>
      <c r="C297" s="190" t="s">
        <v>2</v>
      </c>
      <c r="D297" s="191" t="s">
        <v>59</v>
      </c>
      <c r="E297" s="191" t="s">
        <v>59</v>
      </c>
      <c r="F297" s="192" t="s">
        <v>59</v>
      </c>
      <c r="G297" s="192" t="s">
        <v>59</v>
      </c>
      <c r="H297" s="192"/>
      <c r="I297" s="191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05"/>
        <v>Nathan Ngoumou (A)</v>
      </c>
    </row>
    <row r="298" spans="1:28" ht="10.5" customHeight="1" x14ac:dyDescent="0.2">
      <c r="A298" s="200">
        <v>22</v>
      </c>
      <c r="B298" s="190" t="s">
        <v>387</v>
      </c>
      <c r="C298" s="190" t="s">
        <v>2</v>
      </c>
      <c r="D298" s="191" t="s">
        <v>59</v>
      </c>
      <c r="E298" s="191" t="s">
        <v>59</v>
      </c>
      <c r="F298" s="192" t="s">
        <v>59</v>
      </c>
      <c r="G298" s="192" t="s">
        <v>59</v>
      </c>
      <c r="H298" s="192"/>
      <c r="I298" s="191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" si="106">B298</f>
        <v>Oscar Fraulo (A)</v>
      </c>
    </row>
    <row r="299" spans="1:28" ht="10.5" customHeight="1" x14ac:dyDescent="0.2">
      <c r="A299" s="200">
        <v>23</v>
      </c>
      <c r="B299" s="190" t="s">
        <v>113</v>
      </c>
      <c r="C299" s="190" t="s">
        <v>2</v>
      </c>
      <c r="D299" s="191" t="s">
        <v>59</v>
      </c>
      <c r="E299" s="191" t="s">
        <v>59</v>
      </c>
      <c r="F299" s="192" t="s">
        <v>59</v>
      </c>
      <c r="G299" s="192" t="s">
        <v>59</v>
      </c>
      <c r="H299" s="192"/>
      <c r="I299" s="191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5"/>
        <v>Christoph Kramer</v>
      </c>
    </row>
    <row r="300" spans="1:28" ht="10.5" customHeight="1" x14ac:dyDescent="0.2">
      <c r="A300" s="200">
        <v>25</v>
      </c>
      <c r="B300" s="190" t="s">
        <v>537</v>
      </c>
      <c r="C300" s="190" t="s">
        <v>2</v>
      </c>
      <c r="D300" s="191" t="s">
        <v>59</v>
      </c>
      <c r="E300" s="191" t="s">
        <v>59</v>
      </c>
      <c r="F300" s="192" t="s">
        <v>59</v>
      </c>
      <c r="G300" s="192" t="s">
        <v>59</v>
      </c>
      <c r="H300" s="192"/>
      <c r="I300" s="191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ref="AB300:AB302" si="107">B300</f>
        <v>Robin Hack</v>
      </c>
    </row>
    <row r="301" spans="1:28" ht="10.5" customHeight="1" x14ac:dyDescent="0.2">
      <c r="A301" s="200">
        <v>27</v>
      </c>
      <c r="B301" s="190" t="s">
        <v>538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7"/>
        <v>Rocco Reitz</v>
      </c>
    </row>
    <row r="302" spans="1:28" ht="10.5" customHeight="1" x14ac:dyDescent="0.2">
      <c r="A302" s="200">
        <v>32</v>
      </c>
      <c r="B302" s="190" t="s">
        <v>170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7"/>
        <v>Florian Neuhaus</v>
      </c>
    </row>
    <row r="303" spans="1:28" ht="10.5" customHeight="1" x14ac:dyDescent="0.2">
      <c r="A303" s="201">
        <v>7</v>
      </c>
      <c r="B303" s="195" t="s">
        <v>91</v>
      </c>
      <c r="C303" s="195" t="s">
        <v>3</v>
      </c>
      <c r="D303" s="196" t="s">
        <v>59</v>
      </c>
      <c r="E303" s="196" t="s">
        <v>59</v>
      </c>
      <c r="F303" s="197" t="s">
        <v>59</v>
      </c>
      <c r="G303" s="197" t="s">
        <v>59</v>
      </c>
      <c r="H303" s="197"/>
      <c r="I303" s="196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Patrick Herrmann</v>
      </c>
    </row>
    <row r="304" spans="1:28" ht="10.5" customHeight="1" x14ac:dyDescent="0.2">
      <c r="A304" s="201">
        <v>14</v>
      </c>
      <c r="B304" s="195" t="s">
        <v>171</v>
      </c>
      <c r="C304" s="195" t="s">
        <v>3</v>
      </c>
      <c r="D304" s="196" t="s">
        <v>59</v>
      </c>
      <c r="E304" s="196" t="s">
        <v>59</v>
      </c>
      <c r="F304" s="197" t="s">
        <v>59</v>
      </c>
      <c r="G304" s="197" t="s">
        <v>59</v>
      </c>
      <c r="H304" s="197"/>
      <c r="I304" s="196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7" si="108">B304</f>
        <v>Alassane Plea (A)</v>
      </c>
    </row>
    <row r="305" spans="1:28" ht="10.5" customHeight="1" x14ac:dyDescent="0.2">
      <c r="A305" s="201">
        <v>28</v>
      </c>
      <c r="B305" s="195" t="s">
        <v>539</v>
      </c>
      <c r="C305" s="195" t="s">
        <v>3</v>
      </c>
      <c r="D305" s="196" t="s">
        <v>59</v>
      </c>
      <c r="E305" s="196" t="s">
        <v>59</v>
      </c>
      <c r="F305" s="197" t="s">
        <v>59</v>
      </c>
      <c r="G305" s="197" t="s">
        <v>59</v>
      </c>
      <c r="H305" s="197"/>
      <c r="I305" s="196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ref="AB305" si="109">B305</f>
        <v>Grant-Leon Ranos</v>
      </c>
    </row>
    <row r="306" spans="1:28" ht="10.5" customHeight="1" x14ac:dyDescent="0.2">
      <c r="A306" s="201">
        <v>31</v>
      </c>
      <c r="B306" s="195" t="s">
        <v>540</v>
      </c>
      <c r="C306" s="195" t="s">
        <v>3</v>
      </c>
      <c r="D306" s="196" t="s">
        <v>59</v>
      </c>
      <c r="E306" s="196" t="s">
        <v>59</v>
      </c>
      <c r="F306" s="197" t="s">
        <v>59</v>
      </c>
      <c r="G306" s="197" t="s">
        <v>59</v>
      </c>
      <c r="H306" s="197"/>
      <c r="I306" s="196"/>
      <c r="J306" s="181"/>
      <c r="K306" s="182"/>
      <c r="L306" s="182"/>
      <c r="M306" s="182"/>
      <c r="N306" s="182"/>
      <c r="O306" s="182">
        <v>9</v>
      </c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08"/>
        <v>Tomas Cvancara (A)</v>
      </c>
    </row>
    <row r="307" spans="1:28" ht="10.5" customHeight="1" x14ac:dyDescent="0.2">
      <c r="A307" s="201">
        <v>38</v>
      </c>
      <c r="B307" s="195" t="s">
        <v>388</v>
      </c>
      <c r="C307" s="195" t="s">
        <v>3</v>
      </c>
      <c r="D307" s="196" t="s">
        <v>59</v>
      </c>
      <c r="E307" s="196" t="s">
        <v>59</v>
      </c>
      <c r="F307" s="197" t="s">
        <v>59</v>
      </c>
      <c r="G307" s="197" t="s">
        <v>59</v>
      </c>
      <c r="H307" s="197"/>
      <c r="I307" s="19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si="108"/>
        <v>Yvandro Borges Sanches (A)</v>
      </c>
    </row>
    <row r="308" spans="1:28" ht="10.5" customHeight="1" x14ac:dyDescent="0.2">
      <c r="A308" s="201">
        <v>48</v>
      </c>
      <c r="B308" s="195" t="s">
        <v>464</v>
      </c>
      <c r="C308" s="195" t="s">
        <v>3</v>
      </c>
      <c r="D308" s="196" t="s">
        <v>59</v>
      </c>
      <c r="E308" s="196" t="s">
        <v>59</v>
      </c>
      <c r="F308" s="197" t="s">
        <v>59</v>
      </c>
      <c r="G308" s="197" t="s">
        <v>59</v>
      </c>
      <c r="H308" s="197"/>
      <c r="I308" s="19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ref="AB308" si="110">B308</f>
        <v>Semir Telalovic</v>
      </c>
    </row>
    <row r="309" spans="1:28" ht="15" customHeight="1" thickBot="1" x14ac:dyDescent="0.25">
      <c r="A309" s="220" t="s">
        <v>188</v>
      </c>
      <c r="B309" s="220"/>
      <c r="C309" s="220"/>
      <c r="D309" s="220"/>
      <c r="E309" s="220"/>
      <c r="F309" s="220"/>
      <c r="G309" s="220"/>
      <c r="H309" s="220"/>
      <c r="I309" s="220"/>
      <c r="J309" s="10"/>
      <c r="K309" s="176">
        <v>12</v>
      </c>
      <c r="L309" s="176">
        <v>12</v>
      </c>
      <c r="M309" s="176">
        <v>12</v>
      </c>
      <c r="N309" s="176">
        <v>12</v>
      </c>
      <c r="O309" s="176">
        <v>12</v>
      </c>
      <c r="P309" s="176">
        <v>12</v>
      </c>
      <c r="Q309" s="176">
        <v>12</v>
      </c>
      <c r="R309" s="176">
        <v>12</v>
      </c>
      <c r="S309" s="176">
        <v>12</v>
      </c>
      <c r="T309" s="176">
        <v>12</v>
      </c>
      <c r="U309" s="176">
        <v>12</v>
      </c>
      <c r="V309" s="176">
        <v>12</v>
      </c>
      <c r="W309" s="176">
        <v>12</v>
      </c>
      <c r="X309" s="176">
        <v>12</v>
      </c>
      <c r="Y309" s="176">
        <v>12</v>
      </c>
      <c r="Z309" s="217"/>
      <c r="AB309" s="175" t="str">
        <f>A309</f>
        <v>1.FC Köln</v>
      </c>
    </row>
    <row r="310" spans="1:28" ht="10.5" customHeight="1" x14ac:dyDescent="0.2">
      <c r="A310" s="177">
        <v>1</v>
      </c>
      <c r="B310" s="178" t="s">
        <v>315</v>
      </c>
      <c r="C310" s="178" t="s">
        <v>0</v>
      </c>
      <c r="D310" s="179" t="s">
        <v>59</v>
      </c>
      <c r="E310" s="179" t="s">
        <v>59</v>
      </c>
      <c r="F310" s="180" t="s">
        <v>59</v>
      </c>
      <c r="G310" s="180" t="s">
        <v>59</v>
      </c>
      <c r="H310" s="180"/>
      <c r="I310" s="179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B310" s="175" t="str">
        <f t="shared" ref="AB310:AB324" si="111">B310</f>
        <v>Marvin Schwäbe</v>
      </c>
    </row>
    <row r="311" spans="1:28" ht="10.5" customHeight="1" x14ac:dyDescent="0.2">
      <c r="A311" s="177">
        <v>12</v>
      </c>
      <c r="B311" s="178" t="s">
        <v>541</v>
      </c>
      <c r="C311" s="178" t="s">
        <v>0</v>
      </c>
      <c r="D311" s="179" t="s">
        <v>59</v>
      </c>
      <c r="E311" s="179" t="s">
        <v>59</v>
      </c>
      <c r="F311" s="180" t="s">
        <v>59</v>
      </c>
      <c r="G311" s="180" t="s">
        <v>59</v>
      </c>
      <c r="H311" s="180"/>
      <c r="I311" s="179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si="111"/>
        <v>Jonas Nickisch</v>
      </c>
    </row>
    <row r="312" spans="1:28" ht="10.5" customHeight="1" x14ac:dyDescent="0.2">
      <c r="A312" s="177">
        <v>20</v>
      </c>
      <c r="B312" s="178" t="s">
        <v>198</v>
      </c>
      <c r="C312" s="178" t="s">
        <v>0</v>
      </c>
      <c r="D312" s="179" t="s">
        <v>59</v>
      </c>
      <c r="E312" s="179" t="s">
        <v>59</v>
      </c>
      <c r="F312" s="180" t="s">
        <v>59</v>
      </c>
      <c r="G312" s="180" t="s">
        <v>59</v>
      </c>
      <c r="H312" s="180"/>
      <c r="I312" s="179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2">B312</f>
        <v>Philipp Pentke</v>
      </c>
    </row>
    <row r="313" spans="1:28" ht="10.5" customHeight="1" x14ac:dyDescent="0.2">
      <c r="A313" s="177">
        <v>44</v>
      </c>
      <c r="B313" s="178" t="s">
        <v>542</v>
      </c>
      <c r="C313" s="178" t="s">
        <v>0</v>
      </c>
      <c r="D313" s="179" t="s">
        <v>59</v>
      </c>
      <c r="E313" s="179" t="s">
        <v>59</v>
      </c>
      <c r="F313" s="180" t="s">
        <v>59</v>
      </c>
      <c r="G313" s="180" t="s">
        <v>59</v>
      </c>
      <c r="H313" s="180"/>
      <c r="I313" s="179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2"/>
        <v>Matthias Köbbing</v>
      </c>
    </row>
    <row r="314" spans="1:28" s="113" customFormat="1" ht="10.5" customHeight="1" x14ac:dyDescent="0.2">
      <c r="A314" s="198">
        <v>2</v>
      </c>
      <c r="B314" s="199" t="s">
        <v>211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si="111"/>
        <v>Benno Schmitz</v>
      </c>
    </row>
    <row r="315" spans="1:28" s="113" customFormat="1" ht="10.5" customHeight="1" x14ac:dyDescent="0.2">
      <c r="A315" s="198">
        <v>3</v>
      </c>
      <c r="B315" s="199" t="s">
        <v>376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1"/>
        <v>Kristian Pedersen (A)</v>
      </c>
    </row>
    <row r="316" spans="1:28" s="113" customFormat="1" ht="10.5" customHeight="1" x14ac:dyDescent="0.2">
      <c r="A316" s="198">
        <v>4</v>
      </c>
      <c r="B316" s="199" t="s">
        <v>316</v>
      </c>
      <c r="C316" s="185" t="s">
        <v>1</v>
      </c>
      <c r="D316" s="186" t="s">
        <v>59</v>
      </c>
      <c r="E316" s="186" t="s">
        <v>59</v>
      </c>
      <c r="F316" s="187" t="s">
        <v>59</v>
      </c>
      <c r="G316" s="187" t="s">
        <v>59</v>
      </c>
      <c r="H316" s="187"/>
      <c r="I316" s="186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72"/>
      <c r="AB316" s="175" t="str">
        <f t="shared" si="111"/>
        <v>Timo Hübers</v>
      </c>
    </row>
    <row r="317" spans="1:28" s="113" customFormat="1" ht="10.5" customHeight="1" x14ac:dyDescent="0.2">
      <c r="A317" s="198">
        <v>15</v>
      </c>
      <c r="B317" s="199" t="s">
        <v>214</v>
      </c>
      <c r="C317" s="185" t="s">
        <v>1</v>
      </c>
      <c r="D317" s="186" t="s">
        <v>59</v>
      </c>
      <c r="E317" s="186" t="s">
        <v>59</v>
      </c>
      <c r="F317" s="187" t="s">
        <v>59</v>
      </c>
      <c r="G317" s="187" t="s">
        <v>59</v>
      </c>
      <c r="H317" s="187"/>
      <c r="I317" s="186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72"/>
      <c r="AB317" s="175" t="str">
        <f t="shared" ref="AB317:AB322" si="113">B317</f>
        <v>Luca Kilian</v>
      </c>
    </row>
    <row r="318" spans="1:28" s="113" customFormat="1" ht="10.5" customHeight="1" x14ac:dyDescent="0.2">
      <c r="A318" s="198">
        <v>17</v>
      </c>
      <c r="B318" s="199" t="s">
        <v>543</v>
      </c>
      <c r="C318" s="185" t="s">
        <v>1</v>
      </c>
      <c r="D318" s="186" t="s">
        <v>59</v>
      </c>
      <c r="E318" s="186" t="s">
        <v>59</v>
      </c>
      <c r="F318" s="187" t="s">
        <v>59</v>
      </c>
      <c r="G318" s="187" t="s">
        <v>59</v>
      </c>
      <c r="H318" s="187"/>
      <c r="I318" s="186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72"/>
      <c r="AB318" s="175" t="str">
        <f t="shared" si="113"/>
        <v>Leart Paqarada</v>
      </c>
    </row>
    <row r="319" spans="1:28" s="113" customFormat="1" ht="10.5" customHeight="1" x14ac:dyDescent="0.2">
      <c r="A319" s="198">
        <v>18</v>
      </c>
      <c r="B319" s="199" t="s">
        <v>544</v>
      </c>
      <c r="C319" s="185" t="s">
        <v>1</v>
      </c>
      <c r="D319" s="186" t="s">
        <v>59</v>
      </c>
      <c r="E319" s="186" t="s">
        <v>59</v>
      </c>
      <c r="F319" s="187" t="s">
        <v>59</v>
      </c>
      <c r="G319" s="187" t="s">
        <v>59</v>
      </c>
      <c r="H319" s="187"/>
      <c r="I319" s="186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72"/>
      <c r="AB319" s="175" t="str">
        <f t="shared" si="113"/>
        <v>Rasmus Carstensen (A)</v>
      </c>
    </row>
    <row r="320" spans="1:28" s="113" customFormat="1" ht="10.5" customHeight="1" x14ac:dyDescent="0.2">
      <c r="A320" s="198">
        <v>24</v>
      </c>
      <c r="B320" s="199" t="s">
        <v>344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3"/>
        <v>Jeff Chabot</v>
      </c>
    </row>
    <row r="321" spans="1:28" s="113" customFormat="1" ht="10.5" customHeight="1" x14ac:dyDescent="0.2">
      <c r="A321" s="198">
        <v>30</v>
      </c>
      <c r="B321" s="199" t="s">
        <v>545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3"/>
        <v>Noah Katterbach</v>
      </c>
    </row>
    <row r="322" spans="1:28" s="113" customFormat="1" ht="10.5" customHeight="1" x14ac:dyDescent="0.2">
      <c r="A322" s="198">
        <v>35</v>
      </c>
      <c r="B322" s="199" t="s">
        <v>668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3"/>
        <v>Max Finkgräfe</v>
      </c>
    </row>
    <row r="323" spans="1:28" s="113" customFormat="1" ht="10.5" customHeight="1" x14ac:dyDescent="0.2">
      <c r="A323" s="198">
        <v>38</v>
      </c>
      <c r="B323" s="199" t="s">
        <v>546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" si="114">B323</f>
        <v>Elias Bakatukanda</v>
      </c>
    </row>
    <row r="324" spans="1:28" ht="10.5" customHeight="1" x14ac:dyDescent="0.2">
      <c r="A324" s="200">
        <v>6</v>
      </c>
      <c r="B324" s="190" t="s">
        <v>375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si="111"/>
        <v>Eric Martel</v>
      </c>
    </row>
    <row r="325" spans="1:28" ht="10.5" customHeight="1" x14ac:dyDescent="0.2">
      <c r="A325" s="200">
        <v>7</v>
      </c>
      <c r="B325" s="190" t="s">
        <v>318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ref="AB325:AB332" si="115">B325</f>
        <v>Dejan Ljubicic (A)</v>
      </c>
    </row>
    <row r="326" spans="1:28" ht="10.5" customHeight="1" x14ac:dyDescent="0.2">
      <c r="A326" s="200">
        <v>8</v>
      </c>
      <c r="B326" s="190" t="s">
        <v>377</v>
      </c>
      <c r="C326" s="190" t="s">
        <v>2</v>
      </c>
      <c r="D326" s="191" t="s">
        <v>59</v>
      </c>
      <c r="E326" s="191" t="s">
        <v>59</v>
      </c>
      <c r="F326" s="192" t="s">
        <v>59</v>
      </c>
      <c r="G326" s="192" t="s">
        <v>59</v>
      </c>
      <c r="H326" s="192"/>
      <c r="I326" s="191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si="115"/>
        <v>Denis Huseinbasic</v>
      </c>
    </row>
    <row r="327" spans="1:28" ht="10.5" customHeight="1" x14ac:dyDescent="0.2">
      <c r="A327" s="200">
        <v>11</v>
      </c>
      <c r="B327" s="190" t="s">
        <v>141</v>
      </c>
      <c r="C327" s="190" t="s">
        <v>2</v>
      </c>
      <c r="D327" s="191" t="s">
        <v>59</v>
      </c>
      <c r="E327" s="191" t="s">
        <v>59</v>
      </c>
      <c r="F327" s="192" t="s">
        <v>59</v>
      </c>
      <c r="G327" s="192" t="s">
        <v>59</v>
      </c>
      <c r="H327" s="192"/>
      <c r="I327" s="191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si="115"/>
        <v>Florian Kainz (A)</v>
      </c>
    </row>
    <row r="328" spans="1:28" ht="10.5" customHeight="1" x14ac:dyDescent="0.2">
      <c r="A328" s="200">
        <v>19</v>
      </c>
      <c r="B328" s="190" t="s">
        <v>547</v>
      </c>
      <c r="C328" s="190" t="s">
        <v>2</v>
      </c>
      <c r="D328" s="191" t="s">
        <v>59</v>
      </c>
      <c r="E328" s="191" t="s">
        <v>59</v>
      </c>
      <c r="F328" s="192" t="s">
        <v>59</v>
      </c>
      <c r="G328" s="192" t="s">
        <v>59</v>
      </c>
      <c r="H328" s="192"/>
      <c r="I328" s="191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5"/>
        <v>Dimitrios Limnios (A)</v>
      </c>
    </row>
    <row r="329" spans="1:28" ht="10.5" customHeight="1" x14ac:dyDescent="0.2">
      <c r="A329" s="200">
        <v>22</v>
      </c>
      <c r="B329" s="190" t="s">
        <v>548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5"/>
        <v>Jacob Christensen (A)</v>
      </c>
    </row>
    <row r="330" spans="1:28" ht="10.5" customHeight="1" x14ac:dyDescent="0.2">
      <c r="A330" s="200">
        <v>29</v>
      </c>
      <c r="B330" s="190" t="s">
        <v>226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5"/>
        <v>Jan Thielmann</v>
      </c>
    </row>
    <row r="331" spans="1:28" ht="10.5" customHeight="1" x14ac:dyDescent="0.2">
      <c r="A331" s="200">
        <v>37</v>
      </c>
      <c r="B331" s="190" t="s">
        <v>378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15"/>
        <v>Linton Maina</v>
      </c>
    </row>
    <row r="332" spans="1:28" ht="10.5" customHeight="1" x14ac:dyDescent="0.2">
      <c r="A332" s="200">
        <v>47</v>
      </c>
      <c r="B332" s="190" t="s">
        <v>341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15"/>
        <v>Mathias Olesen (A)</v>
      </c>
    </row>
    <row r="333" spans="1:28" ht="10.5" customHeight="1" x14ac:dyDescent="0.2">
      <c r="A333" s="201">
        <v>9</v>
      </c>
      <c r="B333" s="195" t="s">
        <v>549</v>
      </c>
      <c r="C333" s="195" t="s">
        <v>3</v>
      </c>
      <c r="D333" s="196" t="s">
        <v>59</v>
      </c>
      <c r="E333" s="196" t="s">
        <v>59</v>
      </c>
      <c r="F333" s="197" t="s">
        <v>59</v>
      </c>
      <c r="G333" s="197" t="s">
        <v>59</v>
      </c>
      <c r="H333" s="197"/>
      <c r="I333" s="196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ref="AB333" si="116">B333</f>
        <v>Luca Waldschmidt</v>
      </c>
    </row>
    <row r="334" spans="1:28" ht="10.5" customHeight="1" x14ac:dyDescent="0.2">
      <c r="A334" s="201">
        <v>13</v>
      </c>
      <c r="B334" s="195" t="s">
        <v>319</v>
      </c>
      <c r="C334" s="195" t="s">
        <v>3</v>
      </c>
      <c r="D334" s="196" t="s">
        <v>59</v>
      </c>
      <c r="E334" s="196" t="s">
        <v>59</v>
      </c>
      <c r="F334" s="197" t="s">
        <v>59</v>
      </c>
      <c r="G334" s="197" t="s">
        <v>59</v>
      </c>
      <c r="H334" s="197"/>
      <c r="I334" s="196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ref="AB334:AB337" si="117">B334</f>
        <v>Mark Uth</v>
      </c>
    </row>
    <row r="335" spans="1:28" ht="10.5" customHeight="1" x14ac:dyDescent="0.2">
      <c r="A335" s="201">
        <v>21</v>
      </c>
      <c r="B335" s="195" t="s">
        <v>271</v>
      </c>
      <c r="C335" s="195" t="s">
        <v>3</v>
      </c>
      <c r="D335" s="196" t="s">
        <v>59</v>
      </c>
      <c r="E335" s="196" t="s">
        <v>59</v>
      </c>
      <c r="F335" s="197" t="s">
        <v>59</v>
      </c>
      <c r="G335" s="197" t="s">
        <v>59</v>
      </c>
      <c r="H335" s="197"/>
      <c r="I335" s="196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si="117"/>
        <v>Steffen Tigges</v>
      </c>
    </row>
    <row r="336" spans="1:28" ht="10.5" customHeight="1" x14ac:dyDescent="0.2">
      <c r="A336" s="201">
        <v>23</v>
      </c>
      <c r="B336" s="195" t="s">
        <v>379</v>
      </c>
      <c r="C336" s="195" t="s">
        <v>3</v>
      </c>
      <c r="D336" s="196" t="s">
        <v>59</v>
      </c>
      <c r="E336" s="196" t="s">
        <v>59</v>
      </c>
      <c r="F336" s="197" t="s">
        <v>59</v>
      </c>
      <c r="G336" s="197" t="s">
        <v>59</v>
      </c>
      <c r="H336" s="197"/>
      <c r="I336" s="196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17"/>
        <v>Sargis Adamyan (A)</v>
      </c>
    </row>
    <row r="337" spans="1:28" ht="10.5" customHeight="1" x14ac:dyDescent="0.2">
      <c r="A337" s="201">
        <v>27</v>
      </c>
      <c r="B337" s="195" t="s">
        <v>136</v>
      </c>
      <c r="C337" s="195" t="s">
        <v>3</v>
      </c>
      <c r="D337" s="196" t="s">
        <v>59</v>
      </c>
      <c r="E337" s="196" t="s">
        <v>59</v>
      </c>
      <c r="F337" s="197" t="s">
        <v>59</v>
      </c>
      <c r="G337" s="197" t="s">
        <v>59</v>
      </c>
      <c r="H337" s="197"/>
      <c r="I337" s="19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si="117"/>
        <v>Davie Selke</v>
      </c>
    </row>
    <row r="338" spans="1:28" ht="10.5" customHeight="1" x14ac:dyDescent="0.2">
      <c r="A338" s="201">
        <v>33</v>
      </c>
      <c r="B338" s="195" t="s">
        <v>380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18">B338</f>
        <v>Florian Dietz</v>
      </c>
    </row>
    <row r="339" spans="1:28" ht="15" customHeight="1" thickBot="1" x14ac:dyDescent="0.25">
      <c r="A339" s="220" t="s">
        <v>122</v>
      </c>
      <c r="B339" s="220"/>
      <c r="C339" s="220"/>
      <c r="D339" s="220"/>
      <c r="E339" s="220"/>
      <c r="F339" s="220"/>
      <c r="G339" s="220"/>
      <c r="H339" s="220"/>
      <c r="I339" s="220"/>
      <c r="J339" s="10"/>
      <c r="K339" s="176">
        <v>12</v>
      </c>
      <c r="L339" s="176">
        <v>12</v>
      </c>
      <c r="M339" s="176">
        <v>12</v>
      </c>
      <c r="N339" s="176">
        <v>12</v>
      </c>
      <c r="O339" s="176">
        <v>12</v>
      </c>
      <c r="P339" s="176">
        <v>12</v>
      </c>
      <c r="Q339" s="176">
        <v>12</v>
      </c>
      <c r="R339" s="176">
        <v>12</v>
      </c>
      <c r="S339" s="176">
        <v>12</v>
      </c>
      <c r="T339" s="176">
        <v>12</v>
      </c>
      <c r="U339" s="176">
        <v>12</v>
      </c>
      <c r="V339" s="176">
        <v>12</v>
      </c>
      <c r="W339" s="176">
        <v>12</v>
      </c>
      <c r="X339" s="176">
        <v>12</v>
      </c>
      <c r="Y339" s="176">
        <v>12</v>
      </c>
      <c r="Z339" s="217"/>
      <c r="AB339" s="175" t="str">
        <f>A339</f>
        <v xml:space="preserve"> TSG 1899 Hoffenheim</v>
      </c>
    </row>
    <row r="340" spans="1:28" s="113" customFormat="1" ht="10.5" customHeight="1" x14ac:dyDescent="0.2">
      <c r="A340" s="177">
        <v>1</v>
      </c>
      <c r="B340" s="178" t="s">
        <v>86</v>
      </c>
      <c r="C340" s="178" t="s">
        <v>0</v>
      </c>
      <c r="D340" s="179" t="s">
        <v>59</v>
      </c>
      <c r="E340" s="179" t="s">
        <v>59</v>
      </c>
      <c r="F340" s="180" t="s">
        <v>59</v>
      </c>
      <c r="G340" s="180" t="s">
        <v>59</v>
      </c>
      <c r="H340" s="180"/>
      <c r="I340" s="179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ref="AB340" si="119">B340</f>
        <v>Oliver Baumann</v>
      </c>
    </row>
    <row r="341" spans="1:28" s="113" customFormat="1" ht="10.5" customHeight="1" x14ac:dyDescent="0.2">
      <c r="A341" s="177">
        <v>36</v>
      </c>
      <c r="B341" s="178" t="s">
        <v>307</v>
      </c>
      <c r="C341" s="178" t="s">
        <v>0</v>
      </c>
      <c r="D341" s="179" t="s">
        <v>59</v>
      </c>
      <c r="E341" s="179" t="s">
        <v>59</v>
      </c>
      <c r="F341" s="180" t="s">
        <v>59</v>
      </c>
      <c r="G341" s="180" t="s">
        <v>59</v>
      </c>
      <c r="H341" s="180"/>
      <c r="I341" s="179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ref="AB341:AB342" si="120">B341</f>
        <v>Nahuell Noll</v>
      </c>
    </row>
    <row r="342" spans="1:28" s="113" customFormat="1" ht="10.5" customHeight="1" x14ac:dyDescent="0.2">
      <c r="A342" s="177">
        <v>37</v>
      </c>
      <c r="B342" s="178" t="s">
        <v>243</v>
      </c>
      <c r="C342" s="178" t="s">
        <v>0</v>
      </c>
      <c r="D342" s="179" t="s">
        <v>59</v>
      </c>
      <c r="E342" s="179" t="s">
        <v>59</v>
      </c>
      <c r="F342" s="180" t="s">
        <v>59</v>
      </c>
      <c r="G342" s="180" t="s">
        <v>59</v>
      </c>
      <c r="H342" s="180"/>
      <c r="I342" s="179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si="120"/>
        <v>Luca Philipp</v>
      </c>
    </row>
    <row r="343" spans="1:28" s="113" customFormat="1" ht="10.5" customHeight="1" x14ac:dyDescent="0.2">
      <c r="A343" s="198">
        <v>3</v>
      </c>
      <c r="B343" s="199" t="s">
        <v>163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ref="AB343:AB350" si="121">B343</f>
        <v>Pavel Kaderábek (A)</v>
      </c>
    </row>
    <row r="344" spans="1:28" s="113" customFormat="1" ht="10.5" customHeight="1" x14ac:dyDescent="0.2">
      <c r="A344" s="198">
        <v>5</v>
      </c>
      <c r="B344" s="199" t="s">
        <v>383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si="121"/>
        <v>Ozan Kabak (A)</v>
      </c>
    </row>
    <row r="345" spans="1:28" s="113" customFormat="1" ht="10.5" customHeight="1" x14ac:dyDescent="0.2">
      <c r="A345" s="198">
        <v>15</v>
      </c>
      <c r="B345" s="199" t="s">
        <v>550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1"/>
        <v>Kasim Adams (A)</v>
      </c>
    </row>
    <row r="346" spans="1:28" s="113" customFormat="1" ht="10.5" customHeight="1" x14ac:dyDescent="0.2">
      <c r="A346" s="198">
        <v>22</v>
      </c>
      <c r="B346" s="199" t="s">
        <v>112</v>
      </c>
      <c r="C346" s="185" t="s">
        <v>1</v>
      </c>
      <c r="D346" s="186" t="s">
        <v>59</v>
      </c>
      <c r="E346" s="186" t="s">
        <v>59</v>
      </c>
      <c r="F346" s="187" t="s">
        <v>59</v>
      </c>
      <c r="G346" s="187" t="s">
        <v>59</v>
      </c>
      <c r="H346" s="187"/>
      <c r="I346" s="186"/>
      <c r="J346" s="181"/>
      <c r="K346" s="182"/>
      <c r="L346" s="182">
        <v>3</v>
      </c>
      <c r="M346" s="182"/>
      <c r="N346" s="182"/>
      <c r="O346" s="182"/>
      <c r="P346" s="182"/>
      <c r="Q346" s="182"/>
      <c r="R346" s="182"/>
      <c r="S346" s="182">
        <v>2</v>
      </c>
      <c r="T346" s="182"/>
      <c r="U346" s="182"/>
      <c r="V346" s="182"/>
      <c r="W346" s="182"/>
      <c r="X346" s="182"/>
      <c r="Y346" s="182"/>
      <c r="Z346" s="172"/>
      <c r="AB346" s="175" t="str">
        <f t="shared" ref="AB346" si="122">B346</f>
        <v>Kevin Vogt</v>
      </c>
    </row>
    <row r="347" spans="1:28" s="113" customFormat="1" ht="10.5" customHeight="1" x14ac:dyDescent="0.2">
      <c r="A347" s="198">
        <v>23</v>
      </c>
      <c r="B347" s="199" t="s">
        <v>462</v>
      </c>
      <c r="C347" s="185" t="s">
        <v>1</v>
      </c>
      <c r="D347" s="186" t="s">
        <v>59</v>
      </c>
      <c r="E347" s="186" t="s">
        <v>59</v>
      </c>
      <c r="F347" s="187" t="s">
        <v>59</v>
      </c>
      <c r="G347" s="187" t="s">
        <v>59</v>
      </c>
      <c r="H347" s="187"/>
      <c r="I347" s="186"/>
      <c r="J347" s="181"/>
      <c r="K347" s="182"/>
      <c r="L347" s="182"/>
      <c r="M347" s="182"/>
      <c r="N347" s="182"/>
      <c r="O347" s="182"/>
      <c r="P347" s="182"/>
      <c r="Q347" s="182">
        <v>2</v>
      </c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1"/>
        <v>John Anthony Brooks</v>
      </c>
    </row>
    <row r="348" spans="1:28" s="113" customFormat="1" ht="10.5" customHeight="1" x14ac:dyDescent="0.2">
      <c r="A348" s="198">
        <v>25</v>
      </c>
      <c r="B348" s="199" t="s">
        <v>162</v>
      </c>
      <c r="C348" s="185" t="s">
        <v>1</v>
      </c>
      <c r="D348" s="186" t="s">
        <v>59</v>
      </c>
      <c r="E348" s="186" t="s">
        <v>59</v>
      </c>
      <c r="F348" s="187" t="s">
        <v>59</v>
      </c>
      <c r="G348" s="187" t="s">
        <v>59</v>
      </c>
      <c r="H348" s="187"/>
      <c r="I348" s="186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" si="123">B348</f>
        <v>Kevin Akpoguma</v>
      </c>
    </row>
    <row r="349" spans="1:28" s="113" customFormat="1" ht="10.5" customHeight="1" x14ac:dyDescent="0.2">
      <c r="A349" s="198">
        <v>34</v>
      </c>
      <c r="B349" s="199" t="s">
        <v>430</v>
      </c>
      <c r="C349" s="185" t="s">
        <v>1</v>
      </c>
      <c r="D349" s="186" t="s">
        <v>59</v>
      </c>
      <c r="E349" s="186" t="s">
        <v>59</v>
      </c>
      <c r="F349" s="187" t="s">
        <v>59</v>
      </c>
      <c r="G349" s="187" t="s">
        <v>59</v>
      </c>
      <c r="H349" s="187"/>
      <c r="I349" s="186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1"/>
        <v>Stanley Nsoki (A)</v>
      </c>
    </row>
    <row r="350" spans="1:28" s="113" customFormat="1" ht="10.5" customHeight="1" x14ac:dyDescent="0.2">
      <c r="A350" s="198">
        <v>41</v>
      </c>
      <c r="B350" s="199" t="s">
        <v>551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1"/>
        <v>Attila Szalai (A)</v>
      </c>
    </row>
    <row r="351" spans="1:28" s="113" customFormat="1" ht="10.5" customHeight="1" x14ac:dyDescent="0.2">
      <c r="A351" s="200">
        <v>6</v>
      </c>
      <c r="B351" s="190" t="s">
        <v>220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ref="AB351:AB355" si="124">B351</f>
        <v>Grischa Prömel</v>
      </c>
    </row>
    <row r="352" spans="1:28" s="113" customFormat="1" ht="10.5" customHeight="1" x14ac:dyDescent="0.2">
      <c r="A352" s="200">
        <v>8</v>
      </c>
      <c r="B352" s="190" t="s">
        <v>145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4"/>
        <v>Dennis Geiger</v>
      </c>
    </row>
    <row r="353" spans="1:28" s="113" customFormat="1" ht="10.5" customHeight="1" x14ac:dyDescent="0.2">
      <c r="A353" s="200">
        <v>11</v>
      </c>
      <c r="B353" s="190" t="s">
        <v>552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4"/>
        <v>Florian Grillitsch (A)</v>
      </c>
    </row>
    <row r="354" spans="1:28" s="113" customFormat="1" ht="10.5" customHeight="1" x14ac:dyDescent="0.2">
      <c r="A354" s="200">
        <v>13</v>
      </c>
      <c r="B354" s="190" t="s">
        <v>304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24"/>
        <v>Angelo Stiller</v>
      </c>
    </row>
    <row r="355" spans="1:28" s="113" customFormat="1" ht="10.5" customHeight="1" x14ac:dyDescent="0.2">
      <c r="A355" s="200">
        <v>17</v>
      </c>
      <c r="B355" s="190" t="s">
        <v>553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si="124"/>
        <v>Julian Justvan</v>
      </c>
    </row>
    <row r="356" spans="1:28" s="113" customFormat="1" ht="10.5" customHeight="1" x14ac:dyDescent="0.2">
      <c r="A356" s="200">
        <v>18</v>
      </c>
      <c r="B356" s="190" t="s">
        <v>554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ref="AB356:AB358" si="125">B356</f>
        <v>Diadie Samassekou (A)</v>
      </c>
    </row>
    <row r="357" spans="1:28" s="113" customFormat="1" ht="10.5" customHeight="1" x14ac:dyDescent="0.2">
      <c r="A357" s="200">
        <v>20</v>
      </c>
      <c r="B357" s="190" t="s">
        <v>384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25"/>
        <v>Finn Ole Becker</v>
      </c>
    </row>
    <row r="358" spans="1:28" s="113" customFormat="1" ht="10.5" customHeight="1" x14ac:dyDescent="0.2">
      <c r="A358" s="200">
        <v>24</v>
      </c>
      <c r="B358" s="190" t="s">
        <v>555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25"/>
        <v>Marco John</v>
      </c>
    </row>
    <row r="359" spans="1:28" s="113" customFormat="1" ht="10.5" customHeight="1" x14ac:dyDescent="0.2">
      <c r="A359" s="200">
        <v>35</v>
      </c>
      <c r="B359" s="190" t="s">
        <v>434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:AB361" si="126">B359</f>
        <v>Muhammed Damar</v>
      </c>
    </row>
    <row r="360" spans="1:28" s="113" customFormat="1" ht="10.5" customHeight="1" x14ac:dyDescent="0.2">
      <c r="A360" s="200">
        <v>39</v>
      </c>
      <c r="B360" s="190" t="s">
        <v>305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26"/>
        <v>Tom Bischof</v>
      </c>
    </row>
    <row r="361" spans="1:28" s="113" customFormat="1" ht="10.5" customHeight="1" x14ac:dyDescent="0.2">
      <c r="A361" s="200">
        <v>40</v>
      </c>
      <c r="B361" s="190" t="s">
        <v>463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si="126"/>
        <v>Umut Tohumcu</v>
      </c>
    </row>
    <row r="362" spans="1:28" s="113" customFormat="1" ht="10.5" customHeight="1" x14ac:dyDescent="0.2">
      <c r="A362" s="201">
        <v>9</v>
      </c>
      <c r="B362" s="195" t="s">
        <v>199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ref="AB362:AB368" si="127">B362</f>
        <v>Ihlas Bebou (A)</v>
      </c>
    </row>
    <row r="363" spans="1:28" s="113" customFormat="1" ht="10.5" customHeight="1" x14ac:dyDescent="0.2">
      <c r="A363" s="201">
        <v>10</v>
      </c>
      <c r="B363" s="195" t="s">
        <v>556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ref="AB363:AB367" si="128">B363</f>
        <v>Wout Weghorst (A)</v>
      </c>
    </row>
    <row r="364" spans="1:28" s="113" customFormat="1" ht="10.5" customHeight="1" x14ac:dyDescent="0.2">
      <c r="A364" s="201">
        <v>14</v>
      </c>
      <c r="B364" s="195" t="s">
        <v>557</v>
      </c>
      <c r="C364" s="195" t="s">
        <v>3</v>
      </c>
      <c r="D364" s="196" t="s">
        <v>59</v>
      </c>
      <c r="E364" s="196" t="s">
        <v>59</v>
      </c>
      <c r="F364" s="196" t="s">
        <v>59</v>
      </c>
      <c r="G364" s="196" t="s">
        <v>59</v>
      </c>
      <c r="H364" s="197"/>
      <c r="I364" s="196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si="128"/>
        <v>Maximilian Beier</v>
      </c>
    </row>
    <row r="365" spans="1:28" s="113" customFormat="1" ht="10.5" customHeight="1" x14ac:dyDescent="0.2">
      <c r="A365" s="201">
        <v>21</v>
      </c>
      <c r="B365" s="195" t="s">
        <v>410</v>
      </c>
      <c r="C365" s="195" t="s">
        <v>3</v>
      </c>
      <c r="D365" s="196" t="s">
        <v>59</v>
      </c>
      <c r="E365" s="196" t="s">
        <v>59</v>
      </c>
      <c r="F365" s="196" t="s">
        <v>59</v>
      </c>
      <c r="G365" s="196" t="s">
        <v>59</v>
      </c>
      <c r="H365" s="197"/>
      <c r="I365" s="196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" si="129">B365</f>
        <v>Marius Bülter</v>
      </c>
    </row>
    <row r="366" spans="1:28" s="113" customFormat="1" ht="10.5" customHeight="1" x14ac:dyDescent="0.2">
      <c r="A366" s="201">
        <v>27</v>
      </c>
      <c r="B366" s="195" t="s">
        <v>139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>
        <v>10</v>
      </c>
      <c r="L366" s="182"/>
      <c r="M366" s="182">
        <v>9</v>
      </c>
      <c r="N366" s="182">
        <v>10</v>
      </c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28"/>
        <v>Andrej Kramaric (A)</v>
      </c>
    </row>
    <row r="367" spans="1:28" s="113" customFormat="1" ht="10.5" customHeight="1" x14ac:dyDescent="0.2">
      <c r="A367" s="201">
        <v>29</v>
      </c>
      <c r="B367" s="195" t="s">
        <v>200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28"/>
        <v>Robert Skov (A)</v>
      </c>
    </row>
    <row r="368" spans="1:28" s="113" customFormat="1" ht="10.5" customHeight="1" x14ac:dyDescent="0.2">
      <c r="A368" s="201">
        <v>44</v>
      </c>
      <c r="B368" s="195" t="s">
        <v>339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si="127"/>
        <v>Fisnik Asllani</v>
      </c>
    </row>
    <row r="369" spans="1:28" ht="15" customHeight="1" thickBot="1" x14ac:dyDescent="0.25">
      <c r="A369" s="219" t="s">
        <v>356</v>
      </c>
      <c r="B369" s="219"/>
      <c r="C369" s="219"/>
      <c r="D369" s="219"/>
      <c r="E369" s="219"/>
      <c r="F369" s="219"/>
      <c r="G369" s="219"/>
      <c r="H369" s="219"/>
      <c r="I369" s="219"/>
      <c r="J369" s="10"/>
      <c r="K369" s="176">
        <v>12</v>
      </c>
      <c r="L369" s="176">
        <v>12</v>
      </c>
      <c r="M369" s="176">
        <v>12</v>
      </c>
      <c r="N369" s="176">
        <v>12</v>
      </c>
      <c r="O369" s="176">
        <v>12</v>
      </c>
      <c r="P369" s="176">
        <v>12</v>
      </c>
      <c r="Q369" s="176">
        <v>12</v>
      </c>
      <c r="R369" s="176">
        <v>12</v>
      </c>
      <c r="S369" s="176">
        <v>12</v>
      </c>
      <c r="T369" s="176">
        <v>12</v>
      </c>
      <c r="U369" s="176">
        <v>12</v>
      </c>
      <c r="V369" s="176">
        <v>12</v>
      </c>
      <c r="W369" s="176">
        <v>12</v>
      </c>
      <c r="X369" s="176">
        <v>12</v>
      </c>
      <c r="Y369" s="176">
        <v>12</v>
      </c>
      <c r="Z369" s="217"/>
      <c r="AB369" s="175" t="str">
        <f>A369</f>
        <v>SV Werder Bremen</v>
      </c>
    </row>
    <row r="370" spans="1:28" s="113" customFormat="1" ht="10.5" customHeight="1" x14ac:dyDescent="0.2">
      <c r="A370" s="177">
        <v>1</v>
      </c>
      <c r="B370" s="178" t="s">
        <v>411</v>
      </c>
      <c r="C370" s="178" t="s">
        <v>0</v>
      </c>
      <c r="D370" s="179" t="s">
        <v>59</v>
      </c>
      <c r="E370" s="179" t="s">
        <v>59</v>
      </c>
      <c r="F370" s="180" t="s">
        <v>59</v>
      </c>
      <c r="G370" s="180" t="s">
        <v>59</v>
      </c>
      <c r="H370" s="180"/>
      <c r="I370" s="179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0">B370</f>
        <v>Jiri Pavlenka (A)</v>
      </c>
    </row>
    <row r="371" spans="1:28" s="113" customFormat="1" ht="10.5" customHeight="1" x14ac:dyDescent="0.2">
      <c r="A371" s="177">
        <v>30</v>
      </c>
      <c r="B371" s="178" t="s">
        <v>412</v>
      </c>
      <c r="C371" s="178" t="s">
        <v>0</v>
      </c>
      <c r="D371" s="179" t="s">
        <v>59</v>
      </c>
      <c r="E371" s="179" t="s">
        <v>59</v>
      </c>
      <c r="F371" s="180" t="s">
        <v>59</v>
      </c>
      <c r="G371" s="180" t="s">
        <v>59</v>
      </c>
      <c r="H371" s="180"/>
      <c r="I371" s="179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ref="AB371:AB372" si="131">B371</f>
        <v>Michael Zetterer</v>
      </c>
    </row>
    <row r="372" spans="1:28" s="113" customFormat="1" ht="10.5" customHeight="1" x14ac:dyDescent="0.2">
      <c r="A372" s="177">
        <v>38</v>
      </c>
      <c r="B372" s="178" t="s">
        <v>413</v>
      </c>
      <c r="C372" s="178" t="s">
        <v>0</v>
      </c>
      <c r="D372" s="179" t="s">
        <v>59</v>
      </c>
      <c r="E372" s="179" t="s">
        <v>59</v>
      </c>
      <c r="F372" s="180" t="s">
        <v>59</v>
      </c>
      <c r="G372" s="180" t="s">
        <v>59</v>
      </c>
      <c r="H372" s="180"/>
      <c r="I372" s="179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1"/>
        <v>Eduardo dos Santos Haesler</v>
      </c>
    </row>
    <row r="373" spans="1:28" s="113" customFormat="1" ht="10.5" customHeight="1" x14ac:dyDescent="0.2">
      <c r="A373" s="198">
        <v>3</v>
      </c>
      <c r="B373" s="199" t="s">
        <v>414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>B373</f>
        <v>Anthony Jung</v>
      </c>
    </row>
    <row r="374" spans="1:28" s="113" customFormat="1" ht="10.5" customHeight="1" x14ac:dyDescent="0.2">
      <c r="A374" s="198">
        <v>4</v>
      </c>
      <c r="B374" s="199" t="s">
        <v>146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:AB379" si="132">B374</f>
        <v>Niklas Stark</v>
      </c>
    </row>
    <row r="375" spans="1:28" s="113" customFormat="1" ht="10.5" customHeight="1" x14ac:dyDescent="0.2">
      <c r="A375" s="198">
        <v>5</v>
      </c>
      <c r="B375" s="199" t="s">
        <v>252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2"/>
        <v>Amos Pieper</v>
      </c>
    </row>
    <row r="376" spans="1:28" s="113" customFormat="1" ht="10.5" customHeight="1" x14ac:dyDescent="0.2">
      <c r="A376" s="198">
        <v>8</v>
      </c>
      <c r="B376" s="199" t="s">
        <v>415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si="132"/>
        <v>Mitchell Weiser</v>
      </c>
    </row>
    <row r="377" spans="1:28" s="113" customFormat="1" ht="10.5" customHeight="1" x14ac:dyDescent="0.2">
      <c r="A377" s="198">
        <v>13</v>
      </c>
      <c r="B377" s="199" t="s">
        <v>416</v>
      </c>
      <c r="C377" s="185" t="s">
        <v>1</v>
      </c>
      <c r="D377" s="186" t="s">
        <v>59</v>
      </c>
      <c r="E377" s="186" t="s">
        <v>59</v>
      </c>
      <c r="F377" s="187" t="s">
        <v>59</v>
      </c>
      <c r="G377" s="187" t="s">
        <v>59</v>
      </c>
      <c r="H377" s="187"/>
      <c r="I377" s="186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32"/>
        <v>Milos Veljkovic (A)</v>
      </c>
    </row>
    <row r="378" spans="1:28" s="113" customFormat="1" ht="10.5" customHeight="1" x14ac:dyDescent="0.2">
      <c r="A378" s="198">
        <v>27</v>
      </c>
      <c r="B378" s="199" t="s">
        <v>417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si="132"/>
        <v>Felix Agu</v>
      </c>
    </row>
    <row r="379" spans="1:28" s="113" customFormat="1" ht="10.5" customHeight="1" x14ac:dyDescent="0.2">
      <c r="A379" s="198">
        <v>32</v>
      </c>
      <c r="B379" s="199" t="s">
        <v>418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si="132"/>
        <v>Marco Friedl (A)</v>
      </c>
    </row>
    <row r="380" spans="1:28" s="113" customFormat="1" ht="10.5" customHeight="1" x14ac:dyDescent="0.2">
      <c r="A380" s="198">
        <v>36</v>
      </c>
      <c r="B380" s="199" t="s">
        <v>419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" si="133">B380</f>
        <v>Christian Gross</v>
      </c>
    </row>
    <row r="381" spans="1:28" s="113" customFormat="1" ht="10.5" customHeight="1" x14ac:dyDescent="0.2">
      <c r="A381" s="188">
        <v>6</v>
      </c>
      <c r="B381" s="189" t="s">
        <v>421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" si="134">B381</f>
        <v>Jens Stage (A)</v>
      </c>
    </row>
    <row r="382" spans="1:28" s="113" customFormat="1" ht="10.5" customHeight="1" x14ac:dyDescent="0.2">
      <c r="A382" s="188">
        <v>10</v>
      </c>
      <c r="B382" s="189" t="s">
        <v>422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ref="AB382:AB387" si="135">B382</f>
        <v>Leonardo Bittencourt</v>
      </c>
    </row>
    <row r="383" spans="1:28" s="113" customFormat="1" ht="10.5" customHeight="1" x14ac:dyDescent="0.2">
      <c r="A383" s="188">
        <v>14</v>
      </c>
      <c r="B383" s="189" t="s">
        <v>558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35"/>
        <v>Senne Lynen (A)</v>
      </c>
    </row>
    <row r="384" spans="1:28" s="113" customFormat="1" ht="10.5" customHeight="1" x14ac:dyDescent="0.2">
      <c r="A384" s="188">
        <v>18</v>
      </c>
      <c r="B384" s="189" t="s">
        <v>559</v>
      </c>
      <c r="C384" s="190" t="s">
        <v>2</v>
      </c>
      <c r="D384" s="191" t="s">
        <v>59</v>
      </c>
      <c r="E384" s="191" t="s">
        <v>59</v>
      </c>
      <c r="F384" s="192" t="s">
        <v>59</v>
      </c>
      <c r="G384" s="192" t="s">
        <v>59</v>
      </c>
      <c r="H384" s="192"/>
      <c r="I384" s="191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si="135"/>
        <v>Naby Keita (A)</v>
      </c>
    </row>
    <row r="385" spans="1:28" s="113" customFormat="1" ht="10.5" customHeight="1" x14ac:dyDescent="0.2">
      <c r="A385" s="188">
        <v>19</v>
      </c>
      <c r="B385" s="189" t="s">
        <v>423</v>
      </c>
      <c r="C385" s="190" t="s">
        <v>2</v>
      </c>
      <c r="D385" s="191" t="s">
        <v>59</v>
      </c>
      <c r="E385" s="191" t="s">
        <v>59</v>
      </c>
      <c r="F385" s="192" t="s">
        <v>59</v>
      </c>
      <c r="G385" s="192" t="s">
        <v>59</v>
      </c>
      <c r="H385" s="192"/>
      <c r="I385" s="191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35"/>
        <v>Dikeni Salifou (A)</v>
      </c>
    </row>
    <row r="386" spans="1:28" s="113" customFormat="1" ht="10.5" customHeight="1" x14ac:dyDescent="0.2">
      <c r="A386" s="188">
        <v>20</v>
      </c>
      <c r="B386" s="189" t="s">
        <v>424</v>
      </c>
      <c r="C386" s="190" t="s">
        <v>2</v>
      </c>
      <c r="D386" s="191" t="s">
        <v>59</v>
      </c>
      <c r="E386" s="191" t="s">
        <v>59</v>
      </c>
      <c r="F386" s="192" t="s">
        <v>59</v>
      </c>
      <c r="G386" s="192" t="s">
        <v>59</v>
      </c>
      <c r="H386" s="192"/>
      <c r="I386" s="191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ref="AB386" si="136">B386</f>
        <v>Romano Schmid (A)</v>
      </c>
    </row>
    <row r="387" spans="1:28" s="113" customFormat="1" ht="10.5" customHeight="1" x14ac:dyDescent="0.2">
      <c r="A387" s="188">
        <v>23</v>
      </c>
      <c r="B387" s="189" t="s">
        <v>560</v>
      </c>
      <c r="C387" s="190" t="s">
        <v>2</v>
      </c>
      <c r="D387" s="191" t="s">
        <v>59</v>
      </c>
      <c r="E387" s="191" t="s">
        <v>59</v>
      </c>
      <c r="F387" s="192" t="s">
        <v>59</v>
      </c>
      <c r="G387" s="192" t="s">
        <v>59</v>
      </c>
      <c r="H387" s="192"/>
      <c r="I387" s="191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35"/>
        <v>Nicolai Rapp</v>
      </c>
    </row>
    <row r="388" spans="1:28" s="113" customFormat="1" ht="10.5" customHeight="1" x14ac:dyDescent="0.2">
      <c r="A388" s="188">
        <v>28</v>
      </c>
      <c r="B388" s="189" t="s">
        <v>425</v>
      </c>
      <c r="C388" s="190" t="s">
        <v>2</v>
      </c>
      <c r="D388" s="191" t="s">
        <v>59</v>
      </c>
      <c r="E388" s="191" t="s">
        <v>59</v>
      </c>
      <c r="F388" s="192" t="s">
        <v>59</v>
      </c>
      <c r="G388" s="192" t="s">
        <v>59</v>
      </c>
      <c r="H388" s="192"/>
      <c r="I388" s="191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:AB389" si="137">B388</f>
        <v>Ilia Gruev</v>
      </c>
    </row>
    <row r="389" spans="1:28" s="113" customFormat="1" ht="10.5" customHeight="1" x14ac:dyDescent="0.2">
      <c r="A389" s="188">
        <v>34</v>
      </c>
      <c r="B389" s="189" t="s">
        <v>426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si="137"/>
        <v>Manuel Mbom</v>
      </c>
    </row>
    <row r="390" spans="1:28" s="113" customFormat="1" ht="10.5" customHeight="1" x14ac:dyDescent="0.2">
      <c r="A390" s="193">
        <v>7</v>
      </c>
      <c r="B390" s="194" t="s">
        <v>427</v>
      </c>
      <c r="C390" s="195" t="s">
        <v>3</v>
      </c>
      <c r="D390" s="196" t="s">
        <v>59</v>
      </c>
      <c r="E390" s="196" t="s">
        <v>59</v>
      </c>
      <c r="F390" s="197" t="s">
        <v>59</v>
      </c>
      <c r="G390" s="197" t="s">
        <v>59</v>
      </c>
      <c r="H390" s="197"/>
      <c r="I390" s="196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3" si="138">B390</f>
        <v>Marvin Ducksch</v>
      </c>
    </row>
    <row r="391" spans="1:28" s="113" customFormat="1" ht="10.5" customHeight="1" x14ac:dyDescent="0.2">
      <c r="A391" s="193">
        <v>9</v>
      </c>
      <c r="B391" s="194" t="s">
        <v>561</v>
      </c>
      <c r="C391" s="195" t="s">
        <v>3</v>
      </c>
      <c r="D391" s="196" t="s">
        <v>59</v>
      </c>
      <c r="E391" s="196" t="s">
        <v>59</v>
      </c>
      <c r="F391" s="197" t="s">
        <v>59</v>
      </c>
      <c r="G391" s="197" t="s">
        <v>59</v>
      </c>
      <c r="H391" s="197"/>
      <c r="I391" s="196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38"/>
        <v>Dawid Kownacki (A)</v>
      </c>
    </row>
    <row r="392" spans="1:28" s="113" customFormat="1" ht="10.5" customHeight="1" x14ac:dyDescent="0.2">
      <c r="A392" s="193">
        <v>11</v>
      </c>
      <c r="B392" s="194" t="s">
        <v>428</v>
      </c>
      <c r="C392" s="195" t="s">
        <v>3</v>
      </c>
      <c r="D392" s="196" t="s">
        <v>59</v>
      </c>
      <c r="E392" s="196" t="s">
        <v>59</v>
      </c>
      <c r="F392" s="197" t="s">
        <v>59</v>
      </c>
      <c r="G392" s="197" t="s">
        <v>59</v>
      </c>
      <c r="H392" s="197"/>
      <c r="I392" s="196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38"/>
        <v>Niclas Füllkrug</v>
      </c>
    </row>
    <row r="393" spans="1:28" s="113" customFormat="1" ht="10.5" customHeight="1" x14ac:dyDescent="0.2">
      <c r="A393" s="193">
        <v>17</v>
      </c>
      <c r="B393" s="194" t="s">
        <v>562</v>
      </c>
      <c r="C393" s="195" t="s">
        <v>3</v>
      </c>
      <c r="D393" s="196" t="s">
        <v>59</v>
      </c>
      <c r="E393" s="196" t="s">
        <v>59</v>
      </c>
      <c r="F393" s="197" t="s">
        <v>59</v>
      </c>
      <c r="G393" s="197" t="s">
        <v>59</v>
      </c>
      <c r="H393" s="197"/>
      <c r="I393" s="19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si="138"/>
        <v>Justin Njinmah</v>
      </c>
    </row>
    <row r="394" spans="1:28" s="113" customFormat="1" ht="10.5" customHeight="1" x14ac:dyDescent="0.2">
      <c r="A394" s="193">
        <v>24</v>
      </c>
      <c r="B394" s="194" t="s">
        <v>563</v>
      </c>
      <c r="C394" s="195" t="s">
        <v>3</v>
      </c>
      <c r="D394" s="196" t="s">
        <v>59</v>
      </c>
      <c r="E394" s="196" t="s">
        <v>59</v>
      </c>
      <c r="F394" s="197" t="s">
        <v>59</v>
      </c>
      <c r="G394" s="197" t="s">
        <v>59</v>
      </c>
      <c r="H394" s="197"/>
      <c r="I394" s="19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:AB396" si="139">B394</f>
        <v>Oliver Burke (A)</v>
      </c>
    </row>
    <row r="395" spans="1:28" s="113" customFormat="1" ht="10.5" customHeight="1" x14ac:dyDescent="0.2">
      <c r="A395" s="193">
        <v>29</v>
      </c>
      <c r="B395" s="194" t="s">
        <v>564</v>
      </c>
      <c r="C395" s="195" t="s">
        <v>3</v>
      </c>
      <c r="D395" s="196" t="s">
        <v>59</v>
      </c>
      <c r="E395" s="196" t="s">
        <v>59</v>
      </c>
      <c r="F395" s="197" t="s">
        <v>59</v>
      </c>
      <c r="G395" s="197" t="s">
        <v>59</v>
      </c>
      <c r="H395" s="197"/>
      <c r="I395" s="196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ref="AB395" si="140">B395</f>
        <v>Nick Woltemade</v>
      </c>
    </row>
    <row r="396" spans="1:28" s="113" customFormat="1" ht="10.5" customHeight="1" x14ac:dyDescent="0.2">
      <c r="A396" s="193">
        <v>35</v>
      </c>
      <c r="B396" s="194" t="s">
        <v>659</v>
      </c>
      <c r="C396" s="195" t="s">
        <v>3</v>
      </c>
      <c r="D396" s="196" t="s">
        <v>59</v>
      </c>
      <c r="E396" s="196" t="s">
        <v>59</v>
      </c>
      <c r="F396" s="197" t="s">
        <v>59</v>
      </c>
      <c r="G396" s="197" t="s">
        <v>59</v>
      </c>
      <c r="H396" s="197"/>
      <c r="I396" s="19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si="139"/>
        <v>Leon Opitz</v>
      </c>
    </row>
    <row r="397" spans="1:28" ht="15" customHeight="1" thickBot="1" x14ac:dyDescent="0.25">
      <c r="A397" s="220" t="s">
        <v>277</v>
      </c>
      <c r="B397" s="220"/>
      <c r="C397" s="220"/>
      <c r="D397" s="220"/>
      <c r="E397" s="220"/>
      <c r="F397" s="220"/>
      <c r="G397" s="220"/>
      <c r="H397" s="220"/>
      <c r="I397" s="220"/>
      <c r="J397" s="10"/>
      <c r="K397" s="176">
        <v>12</v>
      </c>
      <c r="L397" s="176">
        <v>12</v>
      </c>
      <c r="M397" s="176">
        <v>12</v>
      </c>
      <c r="N397" s="176">
        <v>12</v>
      </c>
      <c r="O397" s="176">
        <v>12</v>
      </c>
      <c r="P397" s="176">
        <v>12</v>
      </c>
      <c r="Q397" s="176">
        <v>12</v>
      </c>
      <c r="R397" s="176">
        <v>12</v>
      </c>
      <c r="S397" s="176">
        <v>12</v>
      </c>
      <c r="T397" s="176">
        <v>12</v>
      </c>
      <c r="U397" s="176">
        <v>12</v>
      </c>
      <c r="V397" s="176">
        <v>12</v>
      </c>
      <c r="W397" s="176">
        <v>12</v>
      </c>
      <c r="X397" s="176">
        <v>12</v>
      </c>
      <c r="Y397" s="176">
        <v>12</v>
      </c>
      <c r="Z397" s="217"/>
      <c r="AB397" s="175" t="str">
        <f>A397</f>
        <v>VfL Bochum</v>
      </c>
    </row>
    <row r="398" spans="1:28" s="113" customFormat="1" ht="10.5" customHeight="1" x14ac:dyDescent="0.2">
      <c r="A398" s="177">
        <v>1</v>
      </c>
      <c r="B398" s="178" t="s">
        <v>329</v>
      </c>
      <c r="C398" s="178" t="s">
        <v>0</v>
      </c>
      <c r="D398" s="179" t="s">
        <v>59</v>
      </c>
      <c r="E398" s="179" t="s">
        <v>59</v>
      </c>
      <c r="F398" s="180" t="s">
        <v>59</v>
      </c>
      <c r="G398" s="180" t="s">
        <v>59</v>
      </c>
      <c r="H398" s="180"/>
      <c r="I398" s="179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1">B398</f>
        <v>Manuel Riemann</v>
      </c>
    </row>
    <row r="399" spans="1:28" s="113" customFormat="1" ht="10.5" customHeight="1" x14ac:dyDescent="0.2">
      <c r="A399" s="177">
        <v>21</v>
      </c>
      <c r="B399" s="178" t="s">
        <v>330</v>
      </c>
      <c r="C399" s="178" t="s">
        <v>0</v>
      </c>
      <c r="D399" s="179" t="s">
        <v>59</v>
      </c>
      <c r="E399" s="179" t="s">
        <v>59</v>
      </c>
      <c r="F399" s="180" t="s">
        <v>59</v>
      </c>
      <c r="G399" s="180" t="s">
        <v>59</v>
      </c>
      <c r="H399" s="180"/>
      <c r="I399" s="179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" si="142">B399</f>
        <v>Michael Esser</v>
      </c>
    </row>
    <row r="400" spans="1:28" s="113" customFormat="1" ht="10.5" customHeight="1" x14ac:dyDescent="0.2">
      <c r="A400" s="177">
        <v>23</v>
      </c>
      <c r="B400" s="178" t="s">
        <v>565</v>
      </c>
      <c r="C400" s="178" t="s">
        <v>0</v>
      </c>
      <c r="D400" s="179" t="s">
        <v>59</v>
      </c>
      <c r="E400" s="179" t="s">
        <v>59</v>
      </c>
      <c r="F400" s="180" t="s">
        <v>59</v>
      </c>
      <c r="G400" s="180" t="s">
        <v>59</v>
      </c>
      <c r="H400" s="180"/>
      <c r="I400" s="179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ref="AB400" si="143">B400</f>
        <v>Nicklas Thiede</v>
      </c>
    </row>
    <row r="401" spans="1:28" s="113" customFormat="1" ht="10.5" customHeight="1" x14ac:dyDescent="0.2">
      <c r="A401" s="198">
        <v>2</v>
      </c>
      <c r="B401" s="199" t="s">
        <v>326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44">B401</f>
        <v>Cristian Gamboa (A)</v>
      </c>
    </row>
    <row r="402" spans="1:28" s="113" customFormat="1" ht="10.5" customHeight="1" x14ac:dyDescent="0.2">
      <c r="A402" s="198">
        <v>3</v>
      </c>
      <c r="B402" s="199" t="s">
        <v>660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>B402</f>
        <v>Danilo Soares (A)</v>
      </c>
    </row>
    <row r="403" spans="1:28" s="113" customFormat="1" ht="10.5" customHeight="1" x14ac:dyDescent="0.2">
      <c r="A403" s="198">
        <v>4</v>
      </c>
      <c r="B403" s="199" t="s">
        <v>327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>B403</f>
        <v>Erhan Masovic (A)</v>
      </c>
    </row>
    <row r="404" spans="1:28" s="113" customFormat="1" ht="10.5" customHeight="1" x14ac:dyDescent="0.2">
      <c r="A404" s="198">
        <v>5</v>
      </c>
      <c r="B404" s="199" t="s">
        <v>567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45">B404</f>
        <v>Bernardo (A)</v>
      </c>
    </row>
    <row r="405" spans="1:28" s="113" customFormat="1" ht="10.5" customHeight="1" x14ac:dyDescent="0.2">
      <c r="A405" s="198">
        <v>14</v>
      </c>
      <c r="B405" s="199" t="s">
        <v>669</v>
      </c>
      <c r="C405" s="185" t="s">
        <v>1</v>
      </c>
      <c r="D405" s="186" t="s">
        <v>59</v>
      </c>
      <c r="E405" s="186" t="s">
        <v>59</v>
      </c>
      <c r="F405" s="187" t="s">
        <v>59</v>
      </c>
      <c r="G405" s="187" t="s">
        <v>59</v>
      </c>
      <c r="H405" s="187"/>
      <c r="I405" s="186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45"/>
        <v>Tim Oermann</v>
      </c>
    </row>
    <row r="406" spans="1:28" s="113" customFormat="1" ht="10.5" customHeight="1" x14ac:dyDescent="0.2">
      <c r="A406" s="198">
        <v>15</v>
      </c>
      <c r="B406" s="199" t="s">
        <v>568</v>
      </c>
      <c r="C406" s="185" t="s">
        <v>1</v>
      </c>
      <c r="D406" s="186" t="s">
        <v>59</v>
      </c>
      <c r="E406" s="186" t="s">
        <v>59</v>
      </c>
      <c r="F406" s="187" t="s">
        <v>59</v>
      </c>
      <c r="G406" s="187" t="s">
        <v>59</v>
      </c>
      <c r="H406" s="187"/>
      <c r="I406" s="186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46">B406</f>
        <v>Felix Passlack</v>
      </c>
    </row>
    <row r="407" spans="1:28" s="113" customFormat="1" ht="10.5" customHeight="1" x14ac:dyDescent="0.2">
      <c r="A407" s="198">
        <v>18</v>
      </c>
      <c r="B407" s="199" t="s">
        <v>401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:AB411" si="147">B407</f>
        <v>Jordi Osei-Tutu (A)</v>
      </c>
    </row>
    <row r="408" spans="1:28" s="113" customFormat="1" ht="10.5" customHeight="1" x14ac:dyDescent="0.2">
      <c r="A408" s="198">
        <v>20</v>
      </c>
      <c r="B408" s="199" t="s">
        <v>402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47"/>
        <v>Ivan Ordets (A)</v>
      </c>
    </row>
    <row r="409" spans="1:28" s="113" customFormat="1" ht="10.5" customHeight="1" x14ac:dyDescent="0.2">
      <c r="A409" s="198">
        <v>25</v>
      </c>
      <c r="B409" s="199" t="s">
        <v>403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si="147"/>
        <v>Mohammed Tolba</v>
      </c>
    </row>
    <row r="410" spans="1:28" s="113" customFormat="1" ht="10.5" customHeight="1" x14ac:dyDescent="0.2">
      <c r="A410" s="198">
        <v>30</v>
      </c>
      <c r="B410" s="199" t="s">
        <v>661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si="147"/>
        <v>Moritz Römling</v>
      </c>
    </row>
    <row r="411" spans="1:28" s="113" customFormat="1" ht="10.5" customHeight="1" x14ac:dyDescent="0.2">
      <c r="A411" s="198">
        <v>41</v>
      </c>
      <c r="B411" s="199" t="s">
        <v>566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47"/>
        <v>Noah Loosli (A)</v>
      </c>
    </row>
    <row r="412" spans="1:28" s="113" customFormat="1" ht="10.5" customHeight="1" x14ac:dyDescent="0.2">
      <c r="A412" s="198"/>
      <c r="B412" s="199" t="s">
        <v>670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48">B412</f>
        <v>Maximilian Wittek</v>
      </c>
    </row>
    <row r="413" spans="1:28" s="113" customFormat="1" ht="10.5" customHeight="1" x14ac:dyDescent="0.2">
      <c r="A413" s="200">
        <v>6</v>
      </c>
      <c r="B413" s="190" t="s">
        <v>323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" si="149">B413</f>
        <v>Patrick Osterhage</v>
      </c>
    </row>
    <row r="414" spans="1:28" s="113" customFormat="1" ht="10.5" customHeight="1" x14ac:dyDescent="0.2">
      <c r="A414" s="200">
        <v>7</v>
      </c>
      <c r="B414" s="190" t="s">
        <v>269</v>
      </c>
      <c r="C414" s="190" t="s">
        <v>2</v>
      </c>
      <c r="D414" s="191" t="s">
        <v>59</v>
      </c>
      <c r="E414" s="191" t="s">
        <v>59</v>
      </c>
      <c r="F414" s="192" t="s">
        <v>59</v>
      </c>
      <c r="G414" s="192" t="s">
        <v>59</v>
      </c>
      <c r="H414" s="192"/>
      <c r="I414" s="191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ref="AB414:AB416" si="150">B414</f>
        <v>Kevin Stöger (A)</v>
      </c>
    </row>
    <row r="415" spans="1:28" s="113" customFormat="1" ht="10.5" customHeight="1" x14ac:dyDescent="0.2">
      <c r="A415" s="200">
        <v>8</v>
      </c>
      <c r="B415" s="190" t="s">
        <v>324</v>
      </c>
      <c r="C415" s="190" t="s">
        <v>2</v>
      </c>
      <c r="D415" s="191" t="s">
        <v>59</v>
      </c>
      <c r="E415" s="191" t="s">
        <v>59</v>
      </c>
      <c r="F415" s="192" t="s">
        <v>59</v>
      </c>
      <c r="G415" s="192" t="s">
        <v>59</v>
      </c>
      <c r="H415" s="192"/>
      <c r="I415" s="191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0"/>
        <v>Anthony Losilia (A)</v>
      </c>
    </row>
    <row r="416" spans="1:28" s="113" customFormat="1" ht="10.5" customHeight="1" x14ac:dyDescent="0.2">
      <c r="A416" s="200">
        <v>10</v>
      </c>
      <c r="B416" s="190" t="s">
        <v>261</v>
      </c>
      <c r="C416" s="190" t="s">
        <v>2</v>
      </c>
      <c r="D416" s="191" t="s">
        <v>59</v>
      </c>
      <c r="E416" s="191" t="s">
        <v>59</v>
      </c>
      <c r="F416" s="192" t="s">
        <v>59</v>
      </c>
      <c r="G416" s="192" t="s">
        <v>59</v>
      </c>
      <c r="H416" s="192"/>
      <c r="I416" s="191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0"/>
        <v>Philipp Förster</v>
      </c>
    </row>
    <row r="417" spans="1:28" s="113" customFormat="1" ht="10.5" customHeight="1" x14ac:dyDescent="0.2">
      <c r="A417" s="200">
        <v>11</v>
      </c>
      <c r="B417" s="190" t="s">
        <v>321</v>
      </c>
      <c r="C417" s="190" t="s">
        <v>2</v>
      </c>
      <c r="D417" s="191" t="s">
        <v>59</v>
      </c>
      <c r="E417" s="191" t="s">
        <v>59</v>
      </c>
      <c r="F417" s="192" t="s">
        <v>59</v>
      </c>
      <c r="G417" s="192" t="s">
        <v>59</v>
      </c>
      <c r="H417" s="192"/>
      <c r="I417" s="191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:AB421" si="151">B417</f>
        <v>Takuma Asano (A)</v>
      </c>
    </row>
    <row r="418" spans="1:28" s="113" customFormat="1" ht="10.5" customHeight="1" x14ac:dyDescent="0.2">
      <c r="A418" s="200">
        <v>13</v>
      </c>
      <c r="B418" s="190" t="s">
        <v>570</v>
      </c>
      <c r="C418" s="190" t="s">
        <v>2</v>
      </c>
      <c r="D418" s="191" t="s">
        <v>59</v>
      </c>
      <c r="E418" s="191" t="s">
        <v>59</v>
      </c>
      <c r="F418" s="192" t="s">
        <v>59</v>
      </c>
      <c r="G418" s="192" t="s">
        <v>59</v>
      </c>
      <c r="H418" s="192"/>
      <c r="I418" s="191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ref="AB418:AB420" si="152">B418</f>
        <v>Lukas Daschner</v>
      </c>
    </row>
    <row r="419" spans="1:28" s="113" customFormat="1" ht="10.5" customHeight="1" x14ac:dyDescent="0.2">
      <c r="A419" s="200">
        <v>19</v>
      </c>
      <c r="B419" s="190" t="s">
        <v>569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si="152"/>
        <v>Matus Bero (A)</v>
      </c>
    </row>
    <row r="420" spans="1:28" s="113" customFormat="1" ht="10.5" customHeight="1" x14ac:dyDescent="0.2">
      <c r="A420" s="200">
        <v>24</v>
      </c>
      <c r="B420" s="190" t="s">
        <v>662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si="152"/>
        <v>Mats Pannewig</v>
      </c>
    </row>
    <row r="421" spans="1:28" s="113" customFormat="1" ht="10.5" customHeight="1" x14ac:dyDescent="0.2">
      <c r="A421" s="200">
        <v>27</v>
      </c>
      <c r="B421" s="190" t="s">
        <v>571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51"/>
        <v>Moritz Kwarteng</v>
      </c>
    </row>
    <row r="422" spans="1:28" s="113" customFormat="1" ht="10.5" customHeight="1" x14ac:dyDescent="0.2">
      <c r="A422" s="201">
        <v>9</v>
      </c>
      <c r="B422" s="195" t="s">
        <v>320</v>
      </c>
      <c r="C422" s="195" t="s">
        <v>3</v>
      </c>
      <c r="D422" s="196" t="s">
        <v>59</v>
      </c>
      <c r="E422" s="196" t="s">
        <v>59</v>
      </c>
      <c r="F422" s="197" t="s">
        <v>59</v>
      </c>
      <c r="G422" s="197" t="s">
        <v>59</v>
      </c>
      <c r="H422" s="197"/>
      <c r="I422" s="196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ref="AB422" si="153">B422</f>
        <v>Simon Zoller</v>
      </c>
    </row>
    <row r="423" spans="1:28" s="113" customFormat="1" ht="10.5" customHeight="1" x14ac:dyDescent="0.2">
      <c r="A423" s="201">
        <v>22</v>
      </c>
      <c r="B423" s="195" t="s">
        <v>325</v>
      </c>
      <c r="C423" s="195" t="s">
        <v>3</v>
      </c>
      <c r="D423" s="196" t="s">
        <v>59</v>
      </c>
      <c r="E423" s="196" t="s">
        <v>59</v>
      </c>
      <c r="F423" s="197" t="s">
        <v>59</v>
      </c>
      <c r="G423" s="197" t="s">
        <v>59</v>
      </c>
      <c r="H423" s="197"/>
      <c r="I423" s="19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6" si="154">B423</f>
        <v>Christopher Antwi-Adjei</v>
      </c>
    </row>
    <row r="424" spans="1:28" s="113" customFormat="1" ht="10.5" customHeight="1" x14ac:dyDescent="0.2">
      <c r="A424" s="201">
        <v>28</v>
      </c>
      <c r="B424" s="195" t="s">
        <v>663</v>
      </c>
      <c r="C424" s="195" t="s">
        <v>3</v>
      </c>
      <c r="D424" s="196" t="s">
        <v>59</v>
      </c>
      <c r="E424" s="196" t="s">
        <v>59</v>
      </c>
      <c r="F424" s="197" t="s">
        <v>59</v>
      </c>
      <c r="G424" s="197" t="s">
        <v>59</v>
      </c>
      <c r="H424" s="197"/>
      <c r="I424" s="19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 t="shared" si="154"/>
        <v>Luis Hartwig</v>
      </c>
    </row>
    <row r="425" spans="1:28" s="113" customFormat="1" ht="10.5" customHeight="1" x14ac:dyDescent="0.2">
      <c r="A425" s="201">
        <v>29</v>
      </c>
      <c r="B425" s="195" t="s">
        <v>453</v>
      </c>
      <c r="C425" s="195" t="s">
        <v>3</v>
      </c>
      <c r="D425" s="196" t="s">
        <v>59</v>
      </c>
      <c r="E425" s="196" t="s">
        <v>59</v>
      </c>
      <c r="F425" s="197" t="s">
        <v>59</v>
      </c>
      <c r="G425" s="197" t="s">
        <v>59</v>
      </c>
      <c r="H425" s="197"/>
      <c r="I425" s="19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ref="AB425" si="155">B425</f>
        <v>Moritz Broschinski</v>
      </c>
    </row>
    <row r="426" spans="1:28" s="113" customFormat="1" ht="10.5" customHeight="1" x14ac:dyDescent="0.2">
      <c r="A426" s="201">
        <v>33</v>
      </c>
      <c r="B426" s="195" t="s">
        <v>404</v>
      </c>
      <c r="C426" s="195" t="s">
        <v>3</v>
      </c>
      <c r="D426" s="196" t="s">
        <v>59</v>
      </c>
      <c r="E426" s="196" t="s">
        <v>59</v>
      </c>
      <c r="F426" s="197" t="s">
        <v>59</v>
      </c>
      <c r="G426" s="197" t="s">
        <v>59</v>
      </c>
      <c r="H426" s="197"/>
      <c r="I426" s="19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si="154"/>
        <v>Philipp Hofmann</v>
      </c>
    </row>
    <row r="427" spans="1:28" ht="15" customHeight="1" thickBot="1" x14ac:dyDescent="0.25">
      <c r="A427" s="219" t="s">
        <v>97</v>
      </c>
      <c r="B427" s="219"/>
      <c r="C427" s="219"/>
      <c r="D427" s="219"/>
      <c r="E427" s="219"/>
      <c r="F427" s="219"/>
      <c r="G427" s="219"/>
      <c r="H427" s="219"/>
      <c r="I427" s="219"/>
      <c r="J427" s="10"/>
      <c r="K427" s="176">
        <v>12</v>
      </c>
      <c r="L427" s="176">
        <v>12</v>
      </c>
      <c r="M427" s="176">
        <v>12</v>
      </c>
      <c r="N427" s="176">
        <v>12</v>
      </c>
      <c r="O427" s="176">
        <v>12</v>
      </c>
      <c r="P427" s="176">
        <v>12</v>
      </c>
      <c r="Q427" s="176">
        <v>12</v>
      </c>
      <c r="R427" s="176">
        <v>12</v>
      </c>
      <c r="S427" s="176">
        <v>12</v>
      </c>
      <c r="T427" s="176">
        <v>12</v>
      </c>
      <c r="U427" s="176">
        <v>12</v>
      </c>
      <c r="V427" s="176">
        <v>12</v>
      </c>
      <c r="W427" s="176">
        <v>12</v>
      </c>
      <c r="X427" s="176">
        <v>12</v>
      </c>
      <c r="Y427" s="176">
        <v>12</v>
      </c>
      <c r="Z427" s="217"/>
      <c r="AB427" s="175" t="str">
        <f>A427</f>
        <v xml:space="preserve">FC Augsburg </v>
      </c>
    </row>
    <row r="428" spans="1:28" ht="10.5" customHeight="1" x14ac:dyDescent="0.2">
      <c r="A428" s="177">
        <v>1</v>
      </c>
      <c r="B428" s="178" t="s">
        <v>201</v>
      </c>
      <c r="C428" s="178" t="s">
        <v>0</v>
      </c>
      <c r="D428" s="179" t="s">
        <v>59</v>
      </c>
      <c r="E428" s="179" t="s">
        <v>59</v>
      </c>
      <c r="F428" s="180" t="s">
        <v>59</v>
      </c>
      <c r="G428" s="180" t="s">
        <v>59</v>
      </c>
      <c r="H428" s="180"/>
      <c r="I428" s="179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" si="156">B428</f>
        <v>Finn Dahmen</v>
      </c>
    </row>
    <row r="429" spans="1:28" ht="10.5" customHeight="1" x14ac:dyDescent="0.2">
      <c r="A429" s="177">
        <v>33</v>
      </c>
      <c r="B429" s="178" t="s">
        <v>572</v>
      </c>
      <c r="C429" s="178" t="s">
        <v>0</v>
      </c>
      <c r="D429" s="179" t="s">
        <v>59</v>
      </c>
      <c r="E429" s="179" t="s">
        <v>59</v>
      </c>
      <c r="F429" s="180" t="s">
        <v>59</v>
      </c>
      <c r="G429" s="180" t="s">
        <v>59</v>
      </c>
      <c r="H429" s="180"/>
      <c r="I429" s="179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ref="AB429:AB430" si="157">B429</f>
        <v>Marcel Lubik (A)</v>
      </c>
    </row>
    <row r="430" spans="1:28" ht="10.5" customHeight="1" x14ac:dyDescent="0.2">
      <c r="A430" s="177">
        <v>40</v>
      </c>
      <c r="B430" s="178" t="s">
        <v>206</v>
      </c>
      <c r="C430" s="178" t="s">
        <v>0</v>
      </c>
      <c r="D430" s="179" t="s">
        <v>59</v>
      </c>
      <c r="E430" s="179" t="s">
        <v>59</v>
      </c>
      <c r="F430" s="180" t="s">
        <v>59</v>
      </c>
      <c r="G430" s="180" t="s">
        <v>59</v>
      </c>
      <c r="H430" s="180"/>
      <c r="I430" s="179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si="157"/>
        <v>Tomas Koubek (A)</v>
      </c>
    </row>
    <row r="431" spans="1:28" ht="10.5" customHeight="1" x14ac:dyDescent="0.2">
      <c r="A431" s="198">
        <v>2</v>
      </c>
      <c r="B431" s="199" t="s">
        <v>250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ref="AB431" si="158">B431</f>
        <v>Robert Gumny (A)</v>
      </c>
    </row>
    <row r="432" spans="1:28" ht="10.5" customHeight="1" x14ac:dyDescent="0.2">
      <c r="A432" s="198">
        <v>3</v>
      </c>
      <c r="B432" s="199" t="s">
        <v>340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ref="AB432:AB441" si="159">B432</f>
        <v>Mads Pedersen (A)</v>
      </c>
    </row>
    <row r="433" spans="1:28" ht="10.5" customHeight="1" x14ac:dyDescent="0.2">
      <c r="A433" s="198">
        <v>4</v>
      </c>
      <c r="B433" s="199" t="s">
        <v>208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59"/>
        <v>Reece Oxford (A)</v>
      </c>
    </row>
    <row r="434" spans="1:28" ht="10.5" customHeight="1" x14ac:dyDescent="0.2">
      <c r="A434" s="198">
        <v>5</v>
      </c>
      <c r="B434" s="199" t="s">
        <v>573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si="159"/>
        <v>Patric Pfeiffer</v>
      </c>
    </row>
    <row r="435" spans="1:28" ht="10.5" customHeight="1" x14ac:dyDescent="0.2">
      <c r="A435" s="198">
        <v>6</v>
      </c>
      <c r="B435" s="199" t="s">
        <v>152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:AB438" si="160">B435</f>
        <v>Jeffrey Gouweleeuw (A)</v>
      </c>
    </row>
    <row r="436" spans="1:28" ht="10.5" customHeight="1" x14ac:dyDescent="0.2">
      <c r="A436" s="198">
        <v>15</v>
      </c>
      <c r="B436" s="199" t="s">
        <v>574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0"/>
        <v xml:space="preserve">Jozo Stanic </v>
      </c>
    </row>
    <row r="437" spans="1:28" ht="10.5" customHeight="1" x14ac:dyDescent="0.2">
      <c r="A437" s="198">
        <v>19</v>
      </c>
      <c r="B437" s="199" t="s">
        <v>195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si="160"/>
        <v>Felix Uduokhai</v>
      </c>
    </row>
    <row r="438" spans="1:28" ht="10.5" customHeight="1" x14ac:dyDescent="0.2">
      <c r="A438" s="198">
        <v>22</v>
      </c>
      <c r="B438" s="199" t="s">
        <v>207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60"/>
        <v>Iago (A)</v>
      </c>
    </row>
    <row r="439" spans="1:28" ht="10.5" customHeight="1" x14ac:dyDescent="0.2">
      <c r="A439" s="198">
        <v>23</v>
      </c>
      <c r="B439" s="199" t="s">
        <v>331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59"/>
        <v>Maximilian Bauer</v>
      </c>
    </row>
    <row r="440" spans="1:28" ht="10.5" customHeight="1" x14ac:dyDescent="0.2">
      <c r="A440" s="198">
        <v>26</v>
      </c>
      <c r="B440" s="199" t="s">
        <v>575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59"/>
        <v>Frederik Winther (A)</v>
      </c>
    </row>
    <row r="441" spans="1:28" ht="10.5" customHeight="1" x14ac:dyDescent="0.2">
      <c r="A441" s="198">
        <v>32</v>
      </c>
      <c r="B441" s="199" t="s">
        <v>576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si="159"/>
        <v>Raphael Framberger</v>
      </c>
    </row>
    <row r="442" spans="1:28" ht="10.5" customHeight="1" x14ac:dyDescent="0.2">
      <c r="A442" s="198">
        <v>38</v>
      </c>
      <c r="B442" s="199" t="s">
        <v>577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ref="AB442:AB443" si="161">B442</f>
        <v>David Colina (A)</v>
      </c>
    </row>
    <row r="443" spans="1:28" ht="10.5" customHeight="1" x14ac:dyDescent="0.2">
      <c r="A443" s="198">
        <v>42</v>
      </c>
      <c r="B443" s="199" t="s">
        <v>405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61"/>
        <v>Aaron Zehnter</v>
      </c>
    </row>
    <row r="444" spans="1:28" ht="10.5" customHeight="1" x14ac:dyDescent="0.2">
      <c r="A444" s="200">
        <v>10</v>
      </c>
      <c r="B444" s="190" t="s">
        <v>312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ref="AB444:AB448" si="162">B444</f>
        <v>Arne Maier</v>
      </c>
    </row>
    <row r="445" spans="1:28" ht="10.5" customHeight="1" x14ac:dyDescent="0.2">
      <c r="A445" s="200">
        <v>13</v>
      </c>
      <c r="B445" s="190" t="s">
        <v>166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si="162"/>
        <v>Elvis Rexhbecaj</v>
      </c>
    </row>
    <row r="446" spans="1:28" ht="10.5" customHeight="1" x14ac:dyDescent="0.2">
      <c r="A446" s="200">
        <v>14</v>
      </c>
      <c r="B446" s="190" t="s">
        <v>578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 t="shared" ref="AB446" si="163">B446</f>
        <v>Masaya Okugawa (A)</v>
      </c>
    </row>
    <row r="447" spans="1:28" ht="10.5" customHeight="1" x14ac:dyDescent="0.2">
      <c r="A447" s="200">
        <v>16</v>
      </c>
      <c r="B447" s="190" t="s">
        <v>209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si="162"/>
        <v>Ruben Vargas (A)</v>
      </c>
    </row>
    <row r="448" spans="1:28" ht="10.5" customHeight="1" x14ac:dyDescent="0.2">
      <c r="A448" s="200">
        <v>17</v>
      </c>
      <c r="B448" s="190" t="s">
        <v>210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62"/>
        <v>Noah Joel Sarensen Bazee</v>
      </c>
    </row>
    <row r="449" spans="1:28" ht="10.5" customHeight="1" x14ac:dyDescent="0.2">
      <c r="A449" s="200">
        <v>18</v>
      </c>
      <c r="B449" s="190" t="s">
        <v>579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:AB452" si="164">B449</f>
        <v>Tim Breithaupt</v>
      </c>
    </row>
    <row r="450" spans="1:28" ht="10.5" customHeight="1" x14ac:dyDescent="0.2">
      <c r="A450" s="200">
        <v>24</v>
      </c>
      <c r="B450" s="190" t="s">
        <v>172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64"/>
        <v>Fredrik Jensen (A)</v>
      </c>
    </row>
    <row r="451" spans="1:28" ht="10.5" customHeight="1" x14ac:dyDescent="0.2">
      <c r="A451" s="200">
        <v>27</v>
      </c>
      <c r="B451" s="190" t="s">
        <v>449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ref="AB451" si="165">B451</f>
        <v>Arne Engels (A)</v>
      </c>
    </row>
    <row r="452" spans="1:28" ht="10.5" customHeight="1" x14ac:dyDescent="0.2">
      <c r="A452" s="200">
        <v>30</v>
      </c>
      <c r="B452" s="190" t="s">
        <v>313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si="164"/>
        <v>Niklas Dorsch</v>
      </c>
    </row>
    <row r="453" spans="1:28" ht="10.5" customHeight="1" x14ac:dyDescent="0.2">
      <c r="A453" s="200">
        <v>36</v>
      </c>
      <c r="B453" s="190" t="s">
        <v>580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ref="AB453" si="166">B453</f>
        <v>Mert Kömür</v>
      </c>
    </row>
    <row r="454" spans="1:28" ht="10.5" customHeight="1" x14ac:dyDescent="0.2">
      <c r="A454" s="201">
        <v>7</v>
      </c>
      <c r="B454" s="195" t="s">
        <v>581</v>
      </c>
      <c r="C454" s="195" t="s">
        <v>3</v>
      </c>
      <c r="D454" s="196" t="s">
        <v>59</v>
      </c>
      <c r="E454" s="196" t="s">
        <v>59</v>
      </c>
      <c r="F454" s="197" t="s">
        <v>59</v>
      </c>
      <c r="G454" s="197" t="s">
        <v>59</v>
      </c>
      <c r="H454" s="197"/>
      <c r="I454" s="196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>B454</f>
        <v>Dion Beljo (A)</v>
      </c>
    </row>
    <row r="455" spans="1:28" ht="10.5" customHeight="1" x14ac:dyDescent="0.2">
      <c r="A455" s="201">
        <v>9</v>
      </c>
      <c r="B455" s="195" t="s">
        <v>246</v>
      </c>
      <c r="C455" s="195" t="s">
        <v>3</v>
      </c>
      <c r="D455" s="196" t="s">
        <v>59</v>
      </c>
      <c r="E455" s="196" t="s">
        <v>59</v>
      </c>
      <c r="F455" s="197" t="s">
        <v>59</v>
      </c>
      <c r="G455" s="197" t="s">
        <v>59</v>
      </c>
      <c r="H455" s="197"/>
      <c r="I455" s="196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ref="AB455" si="167">B455</f>
        <v>Ermedin Demirovic (A)</v>
      </c>
    </row>
    <row r="456" spans="1:28" ht="10.5" customHeight="1" x14ac:dyDescent="0.2">
      <c r="A456" s="201">
        <v>11</v>
      </c>
      <c r="B456" s="195" t="s">
        <v>582</v>
      </c>
      <c r="C456" s="195" t="s">
        <v>3</v>
      </c>
      <c r="D456" s="196" t="s">
        <v>59</v>
      </c>
      <c r="E456" s="196" t="s">
        <v>59</v>
      </c>
      <c r="F456" s="197" t="s">
        <v>59</v>
      </c>
      <c r="G456" s="197" t="s">
        <v>59</v>
      </c>
      <c r="H456" s="197"/>
      <c r="I456" s="196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:AB458" si="168">B456</f>
        <v>Mergin Berisha</v>
      </c>
    </row>
    <row r="457" spans="1:28" ht="10.5" customHeight="1" x14ac:dyDescent="0.2">
      <c r="A457" s="201">
        <v>20</v>
      </c>
      <c r="B457" s="195" t="s">
        <v>583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 t="shared" si="168"/>
        <v>Sven Michel</v>
      </c>
    </row>
    <row r="458" spans="1:28" ht="10.5" customHeight="1" x14ac:dyDescent="0.2">
      <c r="A458" s="201">
        <v>21</v>
      </c>
      <c r="B458" s="195" t="s">
        <v>584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si="168"/>
        <v>Phillip Tietz</v>
      </c>
    </row>
    <row r="459" spans="1:28" ht="10.5" customHeight="1" x14ac:dyDescent="0.2">
      <c r="A459" s="201">
        <v>34</v>
      </c>
      <c r="B459" s="195" t="s">
        <v>466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69">B459</f>
        <v>Nathanael Mbuku (A)</v>
      </c>
    </row>
    <row r="460" spans="1:28" ht="10.5" customHeight="1" x14ac:dyDescent="0.2">
      <c r="A460" s="201">
        <v>48</v>
      </c>
      <c r="B460" s="195" t="s">
        <v>452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69"/>
        <v>Irvin Cardona (A)</v>
      </c>
    </row>
    <row r="461" spans="1:28" ht="15" customHeight="1" thickBot="1" x14ac:dyDescent="0.25">
      <c r="A461" s="220" t="s">
        <v>236</v>
      </c>
      <c r="B461" s="220"/>
      <c r="C461" s="220"/>
      <c r="D461" s="220"/>
      <c r="E461" s="220"/>
      <c r="F461" s="220"/>
      <c r="G461" s="220"/>
      <c r="H461" s="220"/>
      <c r="I461" s="220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255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70">B462</f>
        <v>Fabian Bredlow</v>
      </c>
    </row>
    <row r="463" spans="1:28" s="113" customFormat="1" ht="10.5" customHeight="1" x14ac:dyDescent="0.2">
      <c r="A463" s="177">
        <v>33</v>
      </c>
      <c r="B463" s="178" t="s">
        <v>585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70"/>
        <v>Alexander Nübel</v>
      </c>
    </row>
    <row r="464" spans="1:28" s="113" customFormat="1" ht="10.5" customHeight="1" x14ac:dyDescent="0.2">
      <c r="A464" s="177">
        <v>41</v>
      </c>
      <c r="B464" s="178" t="s">
        <v>586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70"/>
        <v>Dennis Seimen</v>
      </c>
    </row>
    <row r="465" spans="1:28" s="113" customFormat="1" ht="10.5" customHeight="1" x14ac:dyDescent="0.2">
      <c r="A465" s="177">
        <v>42</v>
      </c>
      <c r="B465" s="178" t="s">
        <v>338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71">B465</f>
        <v>Florian Schock</v>
      </c>
    </row>
    <row r="466" spans="1:28" s="113" customFormat="1" ht="10.5" customHeight="1" x14ac:dyDescent="0.2">
      <c r="A466" s="198">
        <v>2</v>
      </c>
      <c r="B466" s="199" t="s">
        <v>256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" si="172">B466</f>
        <v>Waldemar Anton</v>
      </c>
    </row>
    <row r="467" spans="1:28" s="113" customFormat="1" ht="10.5" customHeight="1" x14ac:dyDescent="0.2">
      <c r="A467" s="198">
        <v>4</v>
      </c>
      <c r="B467" s="199" t="s">
        <v>406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2" si="173">B467</f>
        <v>Josha Vagnoman</v>
      </c>
    </row>
    <row r="468" spans="1:28" s="113" customFormat="1" ht="10.5" customHeight="1" x14ac:dyDescent="0.2">
      <c r="A468" s="198">
        <v>5</v>
      </c>
      <c r="B468" s="199" t="s">
        <v>257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 t="shared" si="173"/>
        <v>Konstantinos Mavropanos (A)</v>
      </c>
    </row>
    <row r="469" spans="1:28" s="113" customFormat="1" ht="10.5" customHeight="1" x14ac:dyDescent="0.2">
      <c r="A469" s="198">
        <v>7</v>
      </c>
      <c r="B469" s="199" t="s">
        <v>150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73"/>
        <v>Maximilian Mittelstädt</v>
      </c>
    </row>
    <row r="470" spans="1:28" s="113" customFormat="1" ht="10.5" customHeight="1" x14ac:dyDescent="0.2">
      <c r="A470" s="198">
        <v>15</v>
      </c>
      <c r="B470" s="199" t="s">
        <v>258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3"/>
        <v>Pascal Stenzel</v>
      </c>
    </row>
    <row r="471" spans="1:28" s="113" customFormat="1" ht="10.5" customHeight="1" x14ac:dyDescent="0.2">
      <c r="A471" s="198">
        <v>16</v>
      </c>
      <c r="B471" s="199" t="s">
        <v>260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73"/>
        <v>Atakan Karazor</v>
      </c>
    </row>
    <row r="472" spans="1:28" s="113" customFormat="1" ht="10.5" customHeight="1" x14ac:dyDescent="0.2">
      <c r="A472" s="198">
        <v>21</v>
      </c>
      <c r="B472" s="199" t="s">
        <v>301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73"/>
        <v>Hikori Ito (A)</v>
      </c>
    </row>
    <row r="473" spans="1:28" s="113" customFormat="1" ht="10.5" customHeight="1" x14ac:dyDescent="0.2">
      <c r="A473" s="198">
        <v>23</v>
      </c>
      <c r="B473" s="199" t="s">
        <v>439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" si="174">B473</f>
        <v>Dan-Axel Zagadou (A)</v>
      </c>
    </row>
    <row r="474" spans="1:28" s="113" customFormat="1" ht="10.5" customHeight="1" x14ac:dyDescent="0.2">
      <c r="A474" s="198">
        <v>24</v>
      </c>
      <c r="B474" s="199" t="s">
        <v>300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" si="175">B474</f>
        <v>Borna Sosa</v>
      </c>
    </row>
    <row r="475" spans="1:28" s="113" customFormat="1" ht="10.5" customHeight="1" x14ac:dyDescent="0.2">
      <c r="A475" s="200">
        <v>3</v>
      </c>
      <c r="B475" s="190" t="s">
        <v>259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76">B475</f>
        <v>Wataru Endo (A)</v>
      </c>
    </row>
    <row r="476" spans="1:28" s="113" customFormat="1" ht="10.5" customHeight="1" x14ac:dyDescent="0.2">
      <c r="A476" s="200">
        <v>8</v>
      </c>
      <c r="B476" s="190" t="s">
        <v>332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86" si="177">B476</f>
        <v>Enzo Millot (A)</v>
      </c>
    </row>
    <row r="477" spans="1:28" s="113" customFormat="1" ht="10.5" customHeight="1" x14ac:dyDescent="0.2">
      <c r="A477" s="200">
        <v>10</v>
      </c>
      <c r="B477" s="190" t="s">
        <v>587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" si="178">B477</f>
        <v>Wooyeong Jeong (A)</v>
      </c>
    </row>
    <row r="478" spans="1:28" s="113" customFormat="1" ht="10.5" customHeight="1" x14ac:dyDescent="0.2">
      <c r="A478" s="200">
        <v>17</v>
      </c>
      <c r="B478" s="190" t="s">
        <v>293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>B478</f>
        <v>Genki Haraguchi (A)</v>
      </c>
    </row>
    <row r="479" spans="1:28" s="113" customFormat="1" ht="10.5" customHeight="1" x14ac:dyDescent="0.2">
      <c r="A479" s="200">
        <v>25</v>
      </c>
      <c r="B479" s="190" t="s">
        <v>262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 t="shared" si="177"/>
        <v>Lilian Egloff</v>
      </c>
    </row>
    <row r="480" spans="1:28" s="113" customFormat="1" ht="10.5" customHeight="1" x14ac:dyDescent="0.2">
      <c r="A480" s="200">
        <v>27</v>
      </c>
      <c r="B480" s="190" t="s">
        <v>298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si="177"/>
        <v>Chris Führich</v>
      </c>
    </row>
    <row r="481" spans="1:28" s="113" customFormat="1" ht="10.5" customHeight="1" x14ac:dyDescent="0.2">
      <c r="A481" s="200">
        <v>28</v>
      </c>
      <c r="B481" s="190" t="s">
        <v>299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77"/>
        <v>Nikolas Nartey (A)</v>
      </c>
    </row>
    <row r="482" spans="1:28" s="113" customFormat="1" ht="10.5" customHeight="1" x14ac:dyDescent="0.2">
      <c r="A482" s="200">
        <v>29</v>
      </c>
      <c r="B482" s="190" t="s">
        <v>588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ref="AB482:AB484" si="179">B482</f>
        <v>Momo Cisse (A)</v>
      </c>
    </row>
    <row r="483" spans="1:28" s="113" customFormat="1" ht="10.5" customHeight="1" x14ac:dyDescent="0.2">
      <c r="A483" s="200">
        <v>31</v>
      </c>
      <c r="B483" s="190" t="s">
        <v>467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79"/>
        <v>Gil Dias (A)</v>
      </c>
    </row>
    <row r="484" spans="1:28" s="113" customFormat="1" ht="10.5" customHeight="1" x14ac:dyDescent="0.2">
      <c r="A484" s="200">
        <v>32</v>
      </c>
      <c r="B484" s="190" t="s">
        <v>589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si="179"/>
        <v>Roberto Massimo</v>
      </c>
    </row>
    <row r="485" spans="1:28" s="113" customFormat="1" ht="10.5" customHeight="1" x14ac:dyDescent="0.2">
      <c r="A485" s="200">
        <v>35</v>
      </c>
      <c r="B485" s="190" t="s">
        <v>590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77"/>
        <v>Clinton Mola (A)</v>
      </c>
    </row>
    <row r="486" spans="1:28" s="113" customFormat="1" ht="10.5" customHeight="1" x14ac:dyDescent="0.2">
      <c r="A486" s="200">
        <v>36</v>
      </c>
      <c r="B486" s="190" t="s">
        <v>444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77"/>
        <v>Laurin Ulrich</v>
      </c>
    </row>
    <row r="487" spans="1:28" s="113" customFormat="1" ht="10.5" customHeight="1" x14ac:dyDescent="0.2">
      <c r="A487" s="201">
        <v>9</v>
      </c>
      <c r="B487" s="195" t="s">
        <v>440</v>
      </c>
      <c r="C487" s="195" t="s">
        <v>3</v>
      </c>
      <c r="D487" s="196" t="s">
        <v>59</v>
      </c>
      <c r="E487" s="196" t="s">
        <v>59</v>
      </c>
      <c r="F487" s="197" t="s">
        <v>59</v>
      </c>
      <c r="G487" s="197" t="s">
        <v>59</v>
      </c>
      <c r="H487" s="197"/>
      <c r="I487" s="19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:AB489" si="180">B487</f>
        <v>Serhou Guirassy (A)</v>
      </c>
    </row>
    <row r="488" spans="1:28" s="113" customFormat="1" ht="10.5" customHeight="1" x14ac:dyDescent="0.2">
      <c r="A488" s="201">
        <v>14</v>
      </c>
      <c r="B488" s="195" t="s">
        <v>297</v>
      </c>
      <c r="C488" s="195" t="s">
        <v>3</v>
      </c>
      <c r="D488" s="196" t="s">
        <v>59</v>
      </c>
      <c r="E488" s="196" t="s">
        <v>59</v>
      </c>
      <c r="F488" s="197" t="s">
        <v>59</v>
      </c>
      <c r="G488" s="197" t="s">
        <v>59</v>
      </c>
      <c r="H488" s="197"/>
      <c r="I488" s="19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0"/>
        <v>Silas Katompa Mvumpa (A)</v>
      </c>
    </row>
    <row r="489" spans="1:28" s="113" customFormat="1" ht="10.5" customHeight="1" x14ac:dyDescent="0.2">
      <c r="A489" s="201">
        <v>18</v>
      </c>
      <c r="B489" s="195" t="s">
        <v>591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si="180"/>
        <v>Jamie Leweling</v>
      </c>
    </row>
    <row r="490" spans="1:28" s="113" customFormat="1" ht="10.5" customHeight="1" x14ac:dyDescent="0.2">
      <c r="A490" s="201">
        <v>19</v>
      </c>
      <c r="B490" s="195" t="s">
        <v>592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>B490</f>
        <v>Jovan Milosevic (A)</v>
      </c>
    </row>
    <row r="491" spans="1:28" s="113" customFormat="1" ht="10.5" customHeight="1" x14ac:dyDescent="0.2">
      <c r="A491" s="201">
        <v>20</v>
      </c>
      <c r="B491" s="195" t="s">
        <v>593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ref="AB491:AB492" si="181">B491</f>
        <v>Luca Pfeifer</v>
      </c>
    </row>
    <row r="492" spans="1:28" s="113" customFormat="1" ht="10.5" customHeight="1" x14ac:dyDescent="0.2">
      <c r="A492" s="201">
        <v>22</v>
      </c>
      <c r="B492" s="195" t="s">
        <v>407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si="181"/>
        <v>Thomas Kastanaras</v>
      </c>
    </row>
    <row r="493" spans="1:28" s="113" customFormat="1" ht="10.5" customHeight="1" x14ac:dyDescent="0.2">
      <c r="A493" s="201">
        <v>26</v>
      </c>
      <c r="B493" s="195" t="s">
        <v>594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82">B493</f>
        <v>Deniz Undav</v>
      </c>
    </row>
    <row r="494" spans="1:28" s="113" customFormat="1" ht="10.5" customHeight="1" x14ac:dyDescent="0.2">
      <c r="A494" s="201">
        <v>44</v>
      </c>
      <c r="B494" s="195" t="s">
        <v>595</v>
      </c>
      <c r="C494" s="195" t="s">
        <v>3</v>
      </c>
      <c r="D494" s="196" t="s">
        <v>59</v>
      </c>
      <c r="E494" s="196" t="s">
        <v>59</v>
      </c>
      <c r="F494" s="197" t="s">
        <v>59</v>
      </c>
      <c r="G494" s="197" t="s">
        <v>59</v>
      </c>
      <c r="H494" s="197"/>
      <c r="I494" s="196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83">B494</f>
        <v>Mohamed Sankoh (A)</v>
      </c>
    </row>
    <row r="495" spans="1:28" ht="15" customHeight="1" thickBot="1" x14ac:dyDescent="0.25">
      <c r="A495" s="220" t="s">
        <v>475</v>
      </c>
      <c r="B495" s="220"/>
      <c r="C495" s="220"/>
      <c r="D495" s="220"/>
      <c r="E495" s="220"/>
      <c r="F495" s="220"/>
      <c r="G495" s="220"/>
      <c r="H495" s="220"/>
      <c r="I495" s="220"/>
      <c r="J495" s="10"/>
      <c r="K495" s="176">
        <v>12</v>
      </c>
      <c r="L495" s="176">
        <v>12</v>
      </c>
      <c r="M495" s="176">
        <v>12</v>
      </c>
      <c r="N495" s="176">
        <v>12</v>
      </c>
      <c r="O495" s="176">
        <v>12</v>
      </c>
      <c r="P495" s="176">
        <v>12</v>
      </c>
      <c r="Q495" s="176">
        <v>12</v>
      </c>
      <c r="R495" s="176">
        <v>12</v>
      </c>
      <c r="S495" s="176">
        <v>12</v>
      </c>
      <c r="T495" s="176">
        <v>12</v>
      </c>
      <c r="U495" s="176">
        <v>12</v>
      </c>
      <c r="V495" s="176">
        <v>12</v>
      </c>
      <c r="W495" s="176">
        <v>12</v>
      </c>
      <c r="X495" s="176">
        <v>12</v>
      </c>
      <c r="Y495" s="176">
        <v>12</v>
      </c>
      <c r="Z495" s="217"/>
      <c r="AB495" s="175" t="str">
        <f>A495</f>
        <v>1.FC Heidenheim</v>
      </c>
    </row>
    <row r="496" spans="1:28" s="113" customFormat="1" ht="10.5" customHeight="1" x14ac:dyDescent="0.2">
      <c r="A496" s="177">
        <v>1</v>
      </c>
      <c r="B496" s="178" t="s">
        <v>596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:AB498" si="184">B496</f>
        <v>Kevin Müller</v>
      </c>
    </row>
    <row r="497" spans="1:28" s="113" customFormat="1" ht="10.5" customHeight="1" x14ac:dyDescent="0.2">
      <c r="A497" s="177">
        <v>22</v>
      </c>
      <c r="B497" s="178" t="s">
        <v>597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ref="AB497" si="185">B497</f>
        <v>Vitus Eicher</v>
      </c>
    </row>
    <row r="498" spans="1:28" s="113" customFormat="1" ht="10.5" customHeight="1" x14ac:dyDescent="0.2">
      <c r="A498" s="177">
        <v>34</v>
      </c>
      <c r="B498" s="178" t="s">
        <v>598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si="184"/>
        <v>Paul Tschernuth (A)</v>
      </c>
    </row>
    <row r="499" spans="1:28" s="113" customFormat="1" ht="10.5" customHeight="1" x14ac:dyDescent="0.2">
      <c r="A499" s="177">
        <v>40</v>
      </c>
      <c r="B499" s="178" t="s">
        <v>599</v>
      </c>
      <c r="C499" s="178" t="s">
        <v>0</v>
      </c>
      <c r="D499" s="179" t="s">
        <v>59</v>
      </c>
      <c r="E499" s="179" t="s">
        <v>59</v>
      </c>
      <c r="F499" s="180" t="s">
        <v>59</v>
      </c>
      <c r="G499" s="180" t="s">
        <v>59</v>
      </c>
      <c r="H499" s="180"/>
      <c r="I499" s="179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86">B499</f>
        <v>Frank Feller</v>
      </c>
    </row>
    <row r="500" spans="1:28" s="113" customFormat="1" ht="10.5" customHeight="1" x14ac:dyDescent="0.2">
      <c r="A500" s="198">
        <v>2</v>
      </c>
      <c r="B500" s="199" t="s">
        <v>600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" si="187">B500</f>
        <v>Marnon Busch</v>
      </c>
    </row>
    <row r="501" spans="1:28" s="113" customFormat="1" ht="10.5" customHeight="1" x14ac:dyDescent="0.2">
      <c r="A501" s="198">
        <v>4</v>
      </c>
      <c r="B501" s="199" t="s">
        <v>601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ref="AB501:AB506" si="188">B501</f>
        <v>Tim Siersleben</v>
      </c>
    </row>
    <row r="502" spans="1:28" s="113" customFormat="1" ht="10.5" customHeight="1" x14ac:dyDescent="0.2">
      <c r="A502" s="198">
        <v>6</v>
      </c>
      <c r="B502" s="199" t="s">
        <v>602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>B502</f>
        <v>Patrick Mainka</v>
      </c>
    </row>
    <row r="503" spans="1:28" s="113" customFormat="1" ht="10.5" customHeight="1" x14ac:dyDescent="0.2">
      <c r="A503" s="198">
        <v>19</v>
      </c>
      <c r="B503" s="199" t="s">
        <v>603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:AB505" si="189">B503</f>
        <v>Jonas Föhrenbach</v>
      </c>
    </row>
    <row r="504" spans="1:28" s="113" customFormat="1" ht="10.5" customHeight="1" x14ac:dyDescent="0.2">
      <c r="A504" s="198">
        <v>23</v>
      </c>
      <c r="B504" s="199" t="s">
        <v>604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89"/>
        <v>Omar Haktab Traore</v>
      </c>
    </row>
    <row r="505" spans="1:28" s="113" customFormat="1" ht="10.5" customHeight="1" x14ac:dyDescent="0.2">
      <c r="A505" s="198">
        <v>27</v>
      </c>
      <c r="B505" s="199" t="s">
        <v>605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89"/>
        <v>Thomas Keller</v>
      </c>
    </row>
    <row r="506" spans="1:28" s="113" customFormat="1" ht="10.5" customHeight="1" x14ac:dyDescent="0.2">
      <c r="A506" s="198">
        <v>29</v>
      </c>
      <c r="B506" s="199" t="s">
        <v>606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si="188"/>
        <v>Seedy Jarju</v>
      </c>
    </row>
    <row r="507" spans="1:28" s="113" customFormat="1" ht="10.5" customHeight="1" x14ac:dyDescent="0.2">
      <c r="A507" s="198">
        <v>30</v>
      </c>
      <c r="B507" s="199" t="s">
        <v>607</v>
      </c>
      <c r="C507" s="185" t="s">
        <v>1</v>
      </c>
      <c r="D507" s="186" t="s">
        <v>59</v>
      </c>
      <c r="E507" s="186" t="s">
        <v>59</v>
      </c>
      <c r="F507" s="187" t="s">
        <v>59</v>
      </c>
      <c r="G507" s="187" t="s">
        <v>59</v>
      </c>
      <c r="H507" s="187"/>
      <c r="I507" s="186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" si="190">B507</f>
        <v>Norman Theuerkauf</v>
      </c>
    </row>
    <row r="508" spans="1:28" s="113" customFormat="1" ht="10.5" customHeight="1" x14ac:dyDescent="0.2">
      <c r="A508" s="200">
        <v>3</v>
      </c>
      <c r="B508" s="190" t="s">
        <v>608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9" si="191">B508</f>
        <v>Jan Schöppner</v>
      </c>
    </row>
    <row r="509" spans="1:28" s="113" customFormat="1" ht="10.5" customHeight="1" x14ac:dyDescent="0.2">
      <c r="A509" s="200">
        <v>5</v>
      </c>
      <c r="B509" s="190" t="s">
        <v>609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ref="AB509:AB513" si="192">B509</f>
        <v>Benedikt Gimber</v>
      </c>
    </row>
    <row r="510" spans="1:28" s="113" customFormat="1" ht="10.5" customHeight="1" x14ac:dyDescent="0.2">
      <c r="A510" s="200">
        <v>8</v>
      </c>
      <c r="B510" s="190" t="s">
        <v>429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2"/>
        <v>Eren Sami Dinkci</v>
      </c>
    </row>
    <row r="511" spans="1:28" s="113" customFormat="1" ht="10.5" customHeight="1" x14ac:dyDescent="0.2">
      <c r="A511" s="200">
        <v>11</v>
      </c>
      <c r="B511" s="190" t="s">
        <v>610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192"/>
        <v>Denis Thomalla</v>
      </c>
    </row>
    <row r="512" spans="1:28" s="113" customFormat="1" ht="10.5" customHeight="1" x14ac:dyDescent="0.2">
      <c r="A512" s="200">
        <v>16</v>
      </c>
      <c r="B512" s="190" t="s">
        <v>611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192"/>
        <v>Kevin Sessa</v>
      </c>
    </row>
    <row r="513" spans="1:28" s="113" customFormat="1" ht="10.5" customHeight="1" x14ac:dyDescent="0.2">
      <c r="A513" s="200">
        <v>17</v>
      </c>
      <c r="B513" s="190" t="s">
        <v>612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si="192"/>
        <v>Florian Pick</v>
      </c>
    </row>
    <row r="514" spans="1:28" s="113" customFormat="1" ht="10.5" customHeight="1" x14ac:dyDescent="0.2">
      <c r="A514" s="200">
        <v>21</v>
      </c>
      <c r="B514" s="190" t="s">
        <v>613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ref="AB514" si="193">B514</f>
        <v>Adrian Beck</v>
      </c>
    </row>
    <row r="515" spans="1:28" s="113" customFormat="1" ht="10.5" customHeight="1" x14ac:dyDescent="0.2">
      <c r="A515" s="200">
        <v>26</v>
      </c>
      <c r="B515" s="190" t="s">
        <v>614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si="191"/>
        <v>Tim Köther</v>
      </c>
    </row>
    <row r="516" spans="1:28" s="113" customFormat="1" ht="10.5" customHeight="1" x14ac:dyDescent="0.2">
      <c r="A516" s="200">
        <v>28</v>
      </c>
      <c r="B516" s="190" t="s">
        <v>615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191"/>
        <v>Melvin Ramusovic</v>
      </c>
    </row>
    <row r="517" spans="1:28" s="113" customFormat="1" ht="10.5" customHeight="1" x14ac:dyDescent="0.2">
      <c r="A517" s="200">
        <v>33</v>
      </c>
      <c r="B517" s="190" t="s">
        <v>616</v>
      </c>
      <c r="C517" s="190" t="s">
        <v>2</v>
      </c>
      <c r="D517" s="191" t="s">
        <v>59</v>
      </c>
      <c r="E517" s="191" t="s">
        <v>59</v>
      </c>
      <c r="F517" s="192" t="s">
        <v>59</v>
      </c>
      <c r="G517" s="192" t="s">
        <v>59</v>
      </c>
      <c r="H517" s="192"/>
      <c r="I517" s="191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si="191"/>
        <v>Lennard Maloney</v>
      </c>
    </row>
    <row r="518" spans="1:28" s="113" customFormat="1" ht="10.5" customHeight="1" x14ac:dyDescent="0.2">
      <c r="A518" s="200">
        <v>36</v>
      </c>
      <c r="B518" s="190" t="s">
        <v>617</v>
      </c>
      <c r="C518" s="190" t="s">
        <v>2</v>
      </c>
      <c r="D518" s="191" t="s">
        <v>59</v>
      </c>
      <c r="E518" s="191" t="s">
        <v>59</v>
      </c>
      <c r="F518" s="192" t="s">
        <v>59</v>
      </c>
      <c r="G518" s="192" t="s">
        <v>59</v>
      </c>
      <c r="H518" s="192"/>
      <c r="I518" s="191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194">B518</f>
        <v>Luka Janes</v>
      </c>
    </row>
    <row r="519" spans="1:28" s="113" customFormat="1" ht="10.5" customHeight="1" x14ac:dyDescent="0.2">
      <c r="A519" s="200">
        <v>37</v>
      </c>
      <c r="B519" s="190" t="s">
        <v>618</v>
      </c>
      <c r="C519" s="190" t="s">
        <v>2</v>
      </c>
      <c r="D519" s="191" t="s">
        <v>59</v>
      </c>
      <c r="E519" s="191" t="s">
        <v>59</v>
      </c>
      <c r="F519" s="192" t="s">
        <v>59</v>
      </c>
      <c r="G519" s="192" t="s">
        <v>59</v>
      </c>
      <c r="H519" s="192"/>
      <c r="I519" s="191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si="191"/>
        <v>Jan-Niklas Beste</v>
      </c>
    </row>
    <row r="520" spans="1:28" s="113" customFormat="1" ht="10.5" customHeight="1" x14ac:dyDescent="0.2">
      <c r="A520" s="201">
        <v>9</v>
      </c>
      <c r="B520" s="195" t="s">
        <v>619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ref="AB520" si="195">B520</f>
        <v>Stefan Schimmer</v>
      </c>
    </row>
    <row r="521" spans="1:28" s="113" customFormat="1" ht="10.5" customHeight="1" x14ac:dyDescent="0.2">
      <c r="A521" s="201">
        <v>10</v>
      </c>
      <c r="B521" s="195" t="s">
        <v>620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196">B521</f>
        <v>Tim Kleindienst</v>
      </c>
    </row>
    <row r="522" spans="1:28" s="113" customFormat="1" ht="10.5" customHeight="1" x14ac:dyDescent="0.2">
      <c r="A522" s="201">
        <v>18</v>
      </c>
      <c r="B522" s="195" t="s">
        <v>621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ref="AB522:AB525" si="197">B522</f>
        <v>Marvin Pieringer</v>
      </c>
    </row>
    <row r="523" spans="1:28" s="113" customFormat="1" ht="10.5" customHeight="1" x14ac:dyDescent="0.2">
      <c r="A523" s="201">
        <v>20</v>
      </c>
      <c r="B523" s="195" t="s">
        <v>622</v>
      </c>
      <c r="C523" s="195" t="s">
        <v>3</v>
      </c>
      <c r="D523" s="196" t="s">
        <v>59</v>
      </c>
      <c r="E523" s="196" t="s">
        <v>59</v>
      </c>
      <c r="F523" s="197" t="s">
        <v>59</v>
      </c>
      <c r="G523" s="197" t="s">
        <v>59</v>
      </c>
      <c r="H523" s="197"/>
      <c r="I523" s="196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72"/>
      <c r="AB523" s="175" t="str">
        <f t="shared" si="197"/>
        <v>Nikola Dovedan (A)</v>
      </c>
    </row>
    <row r="524" spans="1:28" s="113" customFormat="1" ht="10.5" customHeight="1" x14ac:dyDescent="0.2">
      <c r="A524" s="201">
        <v>24</v>
      </c>
      <c r="B524" s="195" t="s">
        <v>623</v>
      </c>
      <c r="C524" s="195" t="s">
        <v>3</v>
      </c>
      <c r="D524" s="196" t="s">
        <v>59</v>
      </c>
      <c r="E524" s="196" t="s">
        <v>59</v>
      </c>
      <c r="F524" s="197" t="s">
        <v>59</v>
      </c>
      <c r="G524" s="197" t="s">
        <v>59</v>
      </c>
      <c r="H524" s="197"/>
      <c r="I524" s="196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198">B524</f>
        <v>Christian Kühlwetter</v>
      </c>
    </row>
    <row r="525" spans="1:28" s="113" customFormat="1" ht="10.5" customHeight="1" x14ac:dyDescent="0.2">
      <c r="A525" s="201">
        <v>44</v>
      </c>
      <c r="B525" s="195" t="s">
        <v>624</v>
      </c>
      <c r="C525" s="195" t="s">
        <v>3</v>
      </c>
      <c r="D525" s="196" t="s">
        <v>59</v>
      </c>
      <c r="E525" s="196" t="s">
        <v>59</v>
      </c>
      <c r="F525" s="197" t="s">
        <v>59</v>
      </c>
      <c r="G525" s="197" t="s">
        <v>59</v>
      </c>
      <c r="H525" s="197"/>
      <c r="I525" s="196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si="197"/>
        <v>Elidon Qenaj</v>
      </c>
    </row>
    <row r="526" spans="1:28" ht="15" customHeight="1" thickBot="1" x14ac:dyDescent="0.25">
      <c r="A526" s="220" t="s">
        <v>476</v>
      </c>
      <c r="B526" s="220"/>
      <c r="C526" s="220"/>
      <c r="D526" s="220"/>
      <c r="E526" s="220"/>
      <c r="F526" s="220"/>
      <c r="G526" s="220"/>
      <c r="H526" s="220"/>
      <c r="I526" s="220"/>
      <c r="J526" s="10"/>
      <c r="K526" s="176">
        <v>12</v>
      </c>
      <c r="L526" s="176">
        <v>12</v>
      </c>
      <c r="M526" s="176">
        <v>12</v>
      </c>
      <c r="N526" s="176">
        <v>12</v>
      </c>
      <c r="O526" s="176">
        <v>12</v>
      </c>
      <c r="P526" s="176">
        <v>12</v>
      </c>
      <c r="Q526" s="176">
        <v>12</v>
      </c>
      <c r="R526" s="176">
        <v>12</v>
      </c>
      <c r="S526" s="176">
        <v>12</v>
      </c>
      <c r="T526" s="176">
        <v>12</v>
      </c>
      <c r="U526" s="176">
        <v>12</v>
      </c>
      <c r="V526" s="176">
        <v>12</v>
      </c>
      <c r="W526" s="176">
        <v>12</v>
      </c>
      <c r="X526" s="176">
        <v>12</v>
      </c>
      <c r="Y526" s="176">
        <v>12</v>
      </c>
      <c r="Z526" s="217"/>
      <c r="AB526" s="175" t="str">
        <f>A526</f>
        <v>SV Darmstadt 98</v>
      </c>
    </row>
    <row r="527" spans="1:28" s="113" customFormat="1" ht="10.5" customHeight="1" x14ac:dyDescent="0.2">
      <c r="A527" s="177">
        <v>1</v>
      </c>
      <c r="B527" s="178" t="s">
        <v>625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199">B527</f>
        <v>Marcel Schuhen</v>
      </c>
    </row>
    <row r="528" spans="1:28" s="113" customFormat="1" ht="10.5" customHeight="1" x14ac:dyDescent="0.2">
      <c r="A528" s="177">
        <v>13</v>
      </c>
      <c r="B528" s="178" t="s">
        <v>626</v>
      </c>
      <c r="C528" s="178" t="s">
        <v>0</v>
      </c>
      <c r="D528" s="179" t="s">
        <v>59</v>
      </c>
      <c r="E528" s="179" t="s">
        <v>59</v>
      </c>
      <c r="F528" s="180" t="s">
        <v>59</v>
      </c>
      <c r="G528" s="180" t="s">
        <v>59</v>
      </c>
      <c r="H528" s="180"/>
      <c r="I528" s="179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72"/>
      <c r="AB528" s="175" t="str">
        <f t="shared" ref="AB528:AB529" si="200">B528</f>
        <v>Morten Behrens</v>
      </c>
    </row>
    <row r="529" spans="1:28" s="113" customFormat="1" ht="10.5" customHeight="1" x14ac:dyDescent="0.2">
      <c r="A529" s="177">
        <v>30</v>
      </c>
      <c r="B529" s="178" t="s">
        <v>627</v>
      </c>
      <c r="C529" s="178" t="s">
        <v>0</v>
      </c>
      <c r="D529" s="179" t="s">
        <v>59</v>
      </c>
      <c r="E529" s="179" t="s">
        <v>59</v>
      </c>
      <c r="F529" s="180" t="s">
        <v>59</v>
      </c>
      <c r="G529" s="180" t="s">
        <v>59</v>
      </c>
      <c r="H529" s="180"/>
      <c r="I529" s="179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72"/>
      <c r="AB529" s="175" t="str">
        <f t="shared" si="200"/>
        <v>Alexander Brunst</v>
      </c>
    </row>
    <row r="530" spans="1:28" s="113" customFormat="1" ht="10.5" customHeight="1" x14ac:dyDescent="0.2">
      <c r="A530" s="177">
        <v>45</v>
      </c>
      <c r="B530" s="178" t="s">
        <v>628</v>
      </c>
      <c r="C530" s="178" t="s">
        <v>0</v>
      </c>
      <c r="D530" s="179" t="s">
        <v>59</v>
      </c>
      <c r="E530" s="179" t="s">
        <v>59</v>
      </c>
      <c r="F530" s="180" t="s">
        <v>59</v>
      </c>
      <c r="G530" s="180" t="s">
        <v>59</v>
      </c>
      <c r="H530" s="180"/>
      <c r="I530" s="179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72"/>
      <c r="AB530" s="175" t="str">
        <f t="shared" ref="AB530" si="201">B530</f>
        <v>Max Wendt</v>
      </c>
    </row>
    <row r="531" spans="1:28" ht="10.5" customHeight="1" x14ac:dyDescent="0.2">
      <c r="A531" s="198">
        <v>3</v>
      </c>
      <c r="B531" s="199" t="s">
        <v>629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ref="AB531:AB532" si="202">B531</f>
        <v>Thomas Isherwood (A)</v>
      </c>
    </row>
    <row r="532" spans="1:28" ht="10.5" customHeight="1" x14ac:dyDescent="0.2">
      <c r="A532" s="198">
        <v>4</v>
      </c>
      <c r="B532" s="199" t="s">
        <v>630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si="202"/>
        <v>Christoph Zimmermann</v>
      </c>
    </row>
    <row r="533" spans="1:28" ht="10.5" customHeight="1" x14ac:dyDescent="0.2">
      <c r="A533" s="198">
        <v>5</v>
      </c>
      <c r="B533" s="199" t="s">
        <v>631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 t="shared" ref="AB533:AB535" si="203">B533</f>
        <v>Matej Maglica (A)</v>
      </c>
    </row>
    <row r="534" spans="1:28" ht="10.5" customHeight="1" x14ac:dyDescent="0.2">
      <c r="A534" s="198">
        <v>14</v>
      </c>
      <c r="B534" s="199" t="s">
        <v>632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si="203"/>
        <v>Christoph Klarer (A)</v>
      </c>
    </row>
    <row r="535" spans="1:28" ht="10.5" customHeight="1" x14ac:dyDescent="0.2">
      <c r="A535" s="198">
        <v>17</v>
      </c>
      <c r="B535" s="199" t="s">
        <v>633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si="203"/>
        <v>Frank Ronstadt</v>
      </c>
    </row>
    <row r="536" spans="1:28" ht="10.5" customHeight="1" x14ac:dyDescent="0.2">
      <c r="A536" s="198">
        <v>19</v>
      </c>
      <c r="B536" s="199" t="s">
        <v>634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>B536</f>
        <v>Emir Karic (A)</v>
      </c>
    </row>
    <row r="537" spans="1:28" ht="10.5" customHeight="1" x14ac:dyDescent="0.2">
      <c r="A537" s="198">
        <v>20</v>
      </c>
      <c r="B537" s="199" t="s">
        <v>635</v>
      </c>
      <c r="C537" s="185" t="s">
        <v>1</v>
      </c>
      <c r="D537" s="186" t="s">
        <v>59</v>
      </c>
      <c r="E537" s="186" t="s">
        <v>59</v>
      </c>
      <c r="F537" s="187" t="s">
        <v>59</v>
      </c>
      <c r="G537" s="187" t="s">
        <v>59</v>
      </c>
      <c r="H537" s="187"/>
      <c r="I537" s="18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>B537</f>
        <v>Jannik Müller</v>
      </c>
    </row>
    <row r="538" spans="1:28" ht="10.5" customHeight="1" x14ac:dyDescent="0.2">
      <c r="A538" s="198">
        <v>26</v>
      </c>
      <c r="B538" s="199" t="s">
        <v>636</v>
      </c>
      <c r="C538" s="185" t="s">
        <v>1</v>
      </c>
      <c r="D538" s="186" t="s">
        <v>59</v>
      </c>
      <c r="E538" s="186" t="s">
        <v>59</v>
      </c>
      <c r="F538" s="187" t="s">
        <v>59</v>
      </c>
      <c r="G538" s="187" t="s">
        <v>59</v>
      </c>
      <c r="H538" s="187"/>
      <c r="I538" s="186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" si="204">B538</f>
        <v>Matthias Bader</v>
      </c>
    </row>
    <row r="539" spans="1:28" ht="10.5" customHeight="1" x14ac:dyDescent="0.2">
      <c r="A539" s="198">
        <v>32</v>
      </c>
      <c r="B539" s="199" t="s">
        <v>637</v>
      </c>
      <c r="C539" s="185" t="s">
        <v>1</v>
      </c>
      <c r="D539" s="186" t="s">
        <v>59</v>
      </c>
      <c r="E539" s="186" t="s">
        <v>59</v>
      </c>
      <c r="F539" s="187" t="s">
        <v>59</v>
      </c>
      <c r="G539" s="187" t="s">
        <v>59</v>
      </c>
      <c r="H539" s="187"/>
      <c r="I539" s="186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>B539</f>
        <v>Fabian Holland</v>
      </c>
    </row>
    <row r="540" spans="1:28" ht="10.5" customHeight="1" x14ac:dyDescent="0.2">
      <c r="A540" s="198">
        <v>38</v>
      </c>
      <c r="B540" s="199" t="s">
        <v>638</v>
      </c>
      <c r="C540" s="185" t="s">
        <v>1</v>
      </c>
      <c r="D540" s="186" t="s">
        <v>59</v>
      </c>
      <c r="E540" s="186" t="s">
        <v>59</v>
      </c>
      <c r="F540" s="187" t="s">
        <v>59</v>
      </c>
      <c r="G540" s="187" t="s">
        <v>59</v>
      </c>
      <c r="H540" s="187"/>
      <c r="I540" s="186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ref="AB540" si="205">B540</f>
        <v>Clemens Riedel</v>
      </c>
    </row>
    <row r="541" spans="1:28" ht="10.5" customHeight="1" x14ac:dyDescent="0.2">
      <c r="A541" s="198">
        <v>43</v>
      </c>
      <c r="B541" s="199" t="s">
        <v>639</v>
      </c>
      <c r="C541" s="185" t="s">
        <v>1</v>
      </c>
      <c r="D541" s="186" t="s">
        <v>59</v>
      </c>
      <c r="E541" s="186" t="s">
        <v>59</v>
      </c>
      <c r="F541" s="187" t="s">
        <v>59</v>
      </c>
      <c r="G541" s="187" t="s">
        <v>59</v>
      </c>
      <c r="H541" s="187"/>
      <c r="I541" s="186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>B541</f>
        <v>Nemanja Celic (A)</v>
      </c>
    </row>
    <row r="542" spans="1:28" ht="10.5" customHeight="1" x14ac:dyDescent="0.2">
      <c r="A542" s="200">
        <v>6</v>
      </c>
      <c r="B542" s="190" t="s">
        <v>640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5" si="206">B542</f>
        <v>Marvin Mehlem</v>
      </c>
    </row>
    <row r="543" spans="1:28" ht="10.5" customHeight="1" x14ac:dyDescent="0.2">
      <c r="A543" s="200">
        <v>7</v>
      </c>
      <c r="B543" s="190" t="s">
        <v>641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06"/>
        <v>Braydon Manu (A)</v>
      </c>
    </row>
    <row r="544" spans="1:28" ht="10.5" customHeight="1" x14ac:dyDescent="0.2">
      <c r="A544" s="200">
        <v>8</v>
      </c>
      <c r="B544" s="190" t="s">
        <v>642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06"/>
        <v>Fabian Schnellhardt</v>
      </c>
    </row>
    <row r="545" spans="1:28" ht="10.5" customHeight="1" x14ac:dyDescent="0.2">
      <c r="A545" s="200">
        <v>11</v>
      </c>
      <c r="B545" s="190" t="s">
        <v>643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si="206"/>
        <v>Tobias Kempe</v>
      </c>
    </row>
    <row r="546" spans="1:28" ht="10.5" customHeight="1" x14ac:dyDescent="0.2">
      <c r="A546" s="200">
        <v>15</v>
      </c>
      <c r="B546" s="190" t="s">
        <v>644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ref="AB546:AB550" si="207">B546</f>
        <v>Fabian Nürnberger</v>
      </c>
    </row>
    <row r="547" spans="1:28" ht="10.5" customHeight="1" x14ac:dyDescent="0.2">
      <c r="A547" s="200">
        <v>16</v>
      </c>
      <c r="B547" s="190" t="s">
        <v>645</v>
      </c>
      <c r="C547" s="190" t="s">
        <v>2</v>
      </c>
      <c r="D547" s="191" t="s">
        <v>59</v>
      </c>
      <c r="E547" s="191" t="s">
        <v>59</v>
      </c>
      <c r="F547" s="192" t="s">
        <v>59</v>
      </c>
      <c r="G547" s="192" t="s">
        <v>59</v>
      </c>
      <c r="H547" s="192"/>
      <c r="I547" s="191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ref="AB547" si="208">B547</f>
        <v>Andreas Müller</v>
      </c>
    </row>
    <row r="548" spans="1:28" ht="10.5" customHeight="1" x14ac:dyDescent="0.2">
      <c r="A548" s="200">
        <v>18</v>
      </c>
      <c r="B548" s="190" t="s">
        <v>646</v>
      </c>
      <c r="C548" s="190" t="s">
        <v>2</v>
      </c>
      <c r="D548" s="191" t="s">
        <v>59</v>
      </c>
      <c r="E548" s="191" t="s">
        <v>59</v>
      </c>
      <c r="F548" s="192" t="s">
        <v>59</v>
      </c>
      <c r="G548" s="192" t="s">
        <v>59</v>
      </c>
      <c r="H548" s="192"/>
      <c r="I548" s="191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07"/>
        <v>Mathias Honsak (A)</v>
      </c>
    </row>
    <row r="549" spans="1:28" ht="10.5" customHeight="1" x14ac:dyDescent="0.2">
      <c r="A549" s="200">
        <v>23</v>
      </c>
      <c r="B549" s="190" t="s">
        <v>647</v>
      </c>
      <c r="C549" s="190" t="s">
        <v>2</v>
      </c>
      <c r="D549" s="191" t="s">
        <v>59</v>
      </c>
      <c r="E549" s="191" t="s">
        <v>59</v>
      </c>
      <c r="F549" s="192" t="s">
        <v>59</v>
      </c>
      <c r="G549" s="192" t="s">
        <v>59</v>
      </c>
      <c r="H549" s="192"/>
      <c r="I549" s="191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si="207"/>
        <v>Klaus Gjasula (A)</v>
      </c>
    </row>
    <row r="550" spans="1:28" ht="10.5" customHeight="1" x14ac:dyDescent="0.2">
      <c r="A550" s="201">
        <v>9</v>
      </c>
      <c r="B550" s="195" t="s">
        <v>648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07"/>
        <v>Fraser Hornby (A)</v>
      </c>
    </row>
    <row r="551" spans="1:28" ht="10.5" customHeight="1" x14ac:dyDescent="0.2">
      <c r="A551" s="201">
        <v>22</v>
      </c>
      <c r="B551" s="195" t="s">
        <v>649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:AB553" si="209">B551</f>
        <v>Aaron Seydel</v>
      </c>
    </row>
    <row r="552" spans="1:28" ht="10.5" customHeight="1" x14ac:dyDescent="0.2">
      <c r="A552" s="201">
        <v>29</v>
      </c>
      <c r="B552" s="195" t="s">
        <v>650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09"/>
        <v>Oscar Vilhelmsson (A)</v>
      </c>
    </row>
    <row r="553" spans="1:28" ht="10.5" customHeight="1" x14ac:dyDescent="0.2">
      <c r="A553" s="201">
        <v>40</v>
      </c>
      <c r="B553" s="195" t="s">
        <v>651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si="209"/>
        <v>Filip Stojilkovic (A)</v>
      </c>
    </row>
    <row r="554" spans="1:28" ht="10.5" customHeight="1" x14ac:dyDescent="0.2">
      <c r="A554" s="201">
        <v>42</v>
      </c>
      <c r="B554" s="195" t="s">
        <v>652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ref="AB554" si="210">B554</f>
        <v>Fabio Torsiello</v>
      </c>
    </row>
  </sheetData>
  <autoFilter ref="K1:AB554" xr:uid="{00000000-0009-0000-0000-000001000000}"/>
  <mergeCells count="18">
    <mergeCell ref="A461:I461"/>
    <mergeCell ref="A309:I309"/>
    <mergeCell ref="A495:I495"/>
    <mergeCell ref="A526:I526"/>
    <mergeCell ref="A427:I427"/>
    <mergeCell ref="A397:I397"/>
    <mergeCell ref="A2:I2"/>
    <mergeCell ref="A219:I219"/>
    <mergeCell ref="A276:I276"/>
    <mergeCell ref="A32:I32"/>
    <mergeCell ref="A369:I369"/>
    <mergeCell ref="A64:I64"/>
    <mergeCell ref="A339:I339"/>
    <mergeCell ref="A153:I153"/>
    <mergeCell ref="A92:I92"/>
    <mergeCell ref="A125:I125"/>
    <mergeCell ref="A251:I251"/>
    <mergeCell ref="A181:I181"/>
  </mergeCells>
  <phoneticPr fontId="0" type="noConversion"/>
  <conditionalFormatting sqref="B555:B1048576 B495 B369 B339:B340 B251 B1:B2 B526 B32 B276 B427 B397 B219:B223 B64:B68 B92:B96 B125:B138 B176:B194 B351:B361 B454:B461 B531:B549 B263:B270 B149:B154 B293:B323">
    <cfRule type="duplicateValues" dxfId="81" priority="7264"/>
  </conditionalFormatting>
  <conditionalFormatting sqref="B555:B1048576 B495 B369 B339:B340 B276 B1:B2 B32 B427 B526 B251 B397 B219:B223 B64:B68 B92:B96 B125:B138 B176:B194 B351:B361 B454:B461 B531:B549 B263:B270 B149:B154 B293:B323">
    <cfRule type="duplicateValues" dxfId="80" priority="7914"/>
  </conditionalFormatting>
  <conditionalFormatting sqref="B555:B1048576 B495 B369 B339:B340 B251 B526 B1:B2 B32 B276 B427 B397 B219:B223 B64:B68 B92:B96 B125:B138 B176:B194 B351:B361 B454:B461 B531:B549 B263:B270 B149:B154 B293:B323">
    <cfRule type="duplicateValues" dxfId="79" priority="8039"/>
  </conditionalFormatting>
  <conditionalFormatting sqref="B555:B1048576 B495 B369 B339:B340 B276 B251 B526 B1:B2 B32 B427 B397 B219:B223 B64:B68 B92:B96 B125:B138 B176:B194 B351:B361 B454:B461 B531:B549 B263:B270 B149:B154 B293:B323">
    <cfRule type="duplicateValues" dxfId="78" priority="8094"/>
  </conditionalFormatting>
  <conditionalFormatting sqref="B555:B1048576">
    <cfRule type="duplicateValues" dxfId="77" priority="15878"/>
  </conditionalFormatting>
  <conditionalFormatting sqref="B555:B1048576 B495 B369 B339:B340 B276 B1:B2 B32 B427 B526 B251 B397 B219:B223 B64:B68 B92:B96 B176:B194 B351:B361 B454:B461 B531:B549 B263:B270 B125:B154 B293:B323">
    <cfRule type="duplicateValues" dxfId="76" priority="39436"/>
  </conditionalFormatting>
  <conditionalFormatting sqref="B555:B1048576 B495 B369 B339:B340 B1:B2 B276 B427 B32 B526 B251 B397 B219:B223 B64:B68 B92:B96 B176:B194 B351:B361 B431:B443 B454:B461 B531:B549 B263:B270 B125:B154 B293:B323">
    <cfRule type="duplicateValues" dxfId="75" priority="39698"/>
  </conditionalFormatting>
  <conditionalFormatting sqref="B58:B63">
    <cfRule type="duplicateValues" dxfId="74" priority="1233"/>
  </conditionalFormatting>
  <conditionalFormatting sqref="B277:B281">
    <cfRule type="duplicateValues" dxfId="73" priority="1087"/>
  </conditionalFormatting>
  <conditionalFormatting sqref="B277:B281">
    <cfRule type="duplicateValues" dxfId="72" priority="1088"/>
  </conditionalFormatting>
  <conditionalFormatting sqref="B277:B281">
    <cfRule type="duplicateValues" dxfId="71" priority="1089"/>
  </conditionalFormatting>
  <conditionalFormatting sqref="B277:B281">
    <cfRule type="duplicateValues" dxfId="70" priority="1090"/>
  </conditionalFormatting>
  <conditionalFormatting sqref="B277:B281">
    <cfRule type="duplicateValues" dxfId="69" priority="1091"/>
  </conditionalFormatting>
  <conditionalFormatting sqref="B277:B281">
    <cfRule type="duplicateValues" dxfId="68" priority="1092"/>
  </conditionalFormatting>
  <conditionalFormatting sqref="B277:B281">
    <cfRule type="duplicateValues" dxfId="67" priority="1093"/>
  </conditionalFormatting>
  <conditionalFormatting sqref="B277:B281">
    <cfRule type="duplicateValues" dxfId="66" priority="1094"/>
  </conditionalFormatting>
  <conditionalFormatting sqref="B277:B281">
    <cfRule type="duplicateValues" dxfId="65" priority="1095"/>
  </conditionalFormatting>
  <conditionalFormatting sqref="B398:B400">
    <cfRule type="duplicateValues" dxfId="64" priority="793"/>
  </conditionalFormatting>
  <conditionalFormatting sqref="B398:B400">
    <cfRule type="duplicateValues" dxfId="63" priority="794"/>
  </conditionalFormatting>
  <conditionalFormatting sqref="B398:B400">
    <cfRule type="duplicateValues" dxfId="62" priority="795"/>
  </conditionalFormatting>
  <conditionalFormatting sqref="B398:B400">
    <cfRule type="duplicateValues" dxfId="61" priority="796"/>
  </conditionalFormatting>
  <conditionalFormatting sqref="B398:B400">
    <cfRule type="duplicateValues" dxfId="60" priority="797"/>
  </conditionalFormatting>
  <conditionalFormatting sqref="B398:B400">
    <cfRule type="duplicateValues" dxfId="59" priority="798"/>
  </conditionalFormatting>
  <conditionalFormatting sqref="B398:B400">
    <cfRule type="duplicateValues" dxfId="58" priority="799"/>
  </conditionalFormatting>
  <conditionalFormatting sqref="B398:B400">
    <cfRule type="duplicateValues" dxfId="57" priority="800"/>
  </conditionalFormatting>
  <conditionalFormatting sqref="B462:B465">
    <cfRule type="duplicateValues" dxfId="56" priority="44327"/>
  </conditionalFormatting>
  <conditionalFormatting sqref="B252:B254">
    <cfRule type="duplicateValues" dxfId="55" priority="83058"/>
  </conditionalFormatting>
  <conditionalFormatting sqref="B555:B1048576 B495 B369 B339:B340 B1:B2 B276 B427 B32 B526 B251 B397 B219:B223 B64:B68 B92:B96 B351:B361 B431:B443 B454:B461 B531:B549 B176:B207 B263:B270 B125:B154 B293:B323">
    <cfRule type="duplicateValues" dxfId="54" priority="91667"/>
  </conditionalFormatting>
  <conditionalFormatting sqref="B555:B1048576 B495 B369 B339:B340 B1:B2 B427 B276 B526 B251 B32 B397 B219:B223 B64:B68 B92:B96 B351:B361 B431:B443 B454:B461 B531:B549 B176:B207 B263:B270 B125:B154 B293:B323">
    <cfRule type="duplicateValues" dxfId="53" priority="91695"/>
  </conditionalFormatting>
  <conditionalFormatting sqref="B155:B157">
    <cfRule type="duplicateValues" dxfId="52" priority="96272"/>
  </conditionalFormatting>
  <conditionalFormatting sqref="B208:B218">
    <cfRule type="duplicateValues" dxfId="51" priority="100809"/>
  </conditionalFormatting>
  <conditionalFormatting sqref="B390:B396">
    <cfRule type="duplicateValues" dxfId="50" priority="104058"/>
  </conditionalFormatting>
  <conditionalFormatting sqref="B362:B368">
    <cfRule type="duplicateValues" dxfId="49" priority="107260"/>
  </conditionalFormatting>
  <conditionalFormatting sqref="B46:B57">
    <cfRule type="duplicateValues" dxfId="48" priority="108684"/>
  </conditionalFormatting>
  <conditionalFormatting sqref="B3:B5">
    <cfRule type="duplicateValues" dxfId="47" priority="111322"/>
  </conditionalFormatting>
  <conditionalFormatting sqref="B6:B16">
    <cfRule type="duplicateValues" dxfId="46" priority="111519"/>
  </conditionalFormatting>
  <conditionalFormatting sqref="B17:B22">
    <cfRule type="duplicateValues" dxfId="45" priority="111756"/>
  </conditionalFormatting>
  <conditionalFormatting sqref="B23:B31">
    <cfRule type="duplicateValues" dxfId="44" priority="112699"/>
  </conditionalFormatting>
  <conditionalFormatting sqref="B33:B36">
    <cfRule type="duplicateValues" dxfId="43" priority="112796"/>
  </conditionalFormatting>
  <conditionalFormatting sqref="B37:B45">
    <cfRule type="duplicateValues" dxfId="42" priority="113265"/>
  </conditionalFormatting>
  <conditionalFormatting sqref="B65:B68">
    <cfRule type="duplicateValues" dxfId="41" priority="114615"/>
  </conditionalFormatting>
  <conditionalFormatting sqref="B69:B75">
    <cfRule type="duplicateValues" dxfId="40" priority="114762"/>
  </conditionalFormatting>
  <conditionalFormatting sqref="B76:B86">
    <cfRule type="duplicateValues" dxfId="39" priority="115194"/>
  </conditionalFormatting>
  <conditionalFormatting sqref="B87:B91">
    <cfRule type="duplicateValues" dxfId="38" priority="115622"/>
  </conditionalFormatting>
  <conditionalFormatting sqref="B97:B106">
    <cfRule type="duplicateValues" dxfId="37" priority="116027"/>
  </conditionalFormatting>
  <conditionalFormatting sqref="B107:B117">
    <cfRule type="duplicateValues" dxfId="36" priority="116227"/>
  </conditionalFormatting>
  <conditionalFormatting sqref="B118:B124">
    <cfRule type="duplicateValues" dxfId="35" priority="116424"/>
  </conditionalFormatting>
  <conditionalFormatting sqref="B139:B148">
    <cfRule type="duplicateValues" dxfId="34" priority="116613"/>
  </conditionalFormatting>
  <conditionalFormatting sqref="B158:B166">
    <cfRule type="duplicateValues" dxfId="33" priority="116962"/>
  </conditionalFormatting>
  <conditionalFormatting sqref="B167:B175">
    <cfRule type="duplicateValues" dxfId="32" priority="117569"/>
  </conditionalFormatting>
  <conditionalFormatting sqref="B195:B207">
    <cfRule type="duplicateValues" dxfId="31" priority="117975"/>
  </conditionalFormatting>
  <conditionalFormatting sqref="B224:B232">
    <cfRule type="duplicateValues" dxfId="30" priority="118370"/>
  </conditionalFormatting>
  <conditionalFormatting sqref="B233:B246">
    <cfRule type="duplicateValues" dxfId="29" priority="119388"/>
  </conditionalFormatting>
  <conditionalFormatting sqref="B247:B250">
    <cfRule type="duplicateValues" dxfId="28" priority="119575"/>
  </conditionalFormatting>
  <conditionalFormatting sqref="B526:B1048576 B251:B380 B390:B519 B176:B246 B1:B166">
    <cfRule type="duplicateValues" dxfId="27" priority="120756"/>
  </conditionalFormatting>
  <conditionalFormatting sqref="B1:B1048576">
    <cfRule type="duplicateValues" dxfId="26" priority="120768"/>
  </conditionalFormatting>
  <conditionalFormatting sqref="B282:B292">
    <cfRule type="duplicateValues" dxfId="25" priority="121583"/>
  </conditionalFormatting>
  <conditionalFormatting sqref="B324:B332">
    <cfRule type="duplicateValues" dxfId="24" priority="121962"/>
  </conditionalFormatting>
  <conditionalFormatting sqref="B333:B338">
    <cfRule type="duplicateValues" dxfId="23" priority="122739"/>
  </conditionalFormatting>
  <conditionalFormatting sqref="B526:B1048576 B1:B519">
    <cfRule type="duplicateValues" dxfId="22" priority="122932"/>
  </conditionalFormatting>
  <conditionalFormatting sqref="B341:B342">
    <cfRule type="duplicateValues" dxfId="21" priority="123064"/>
  </conditionalFormatting>
  <conditionalFormatting sqref="B343:B350">
    <cfRule type="duplicateValues" dxfId="20" priority="123242"/>
  </conditionalFormatting>
  <conditionalFormatting sqref="B370:B372">
    <cfRule type="duplicateValues" dxfId="19" priority="123571"/>
  </conditionalFormatting>
  <conditionalFormatting sqref="B373:B380">
    <cfRule type="duplicateValues" dxfId="18" priority="123704"/>
  </conditionalFormatting>
  <conditionalFormatting sqref="B381:B389">
    <cfRule type="duplicateValues" dxfId="17" priority="123882"/>
  </conditionalFormatting>
  <conditionalFormatting sqref="B413:B421">
    <cfRule type="duplicateValues" dxfId="16" priority="124237"/>
  </conditionalFormatting>
  <conditionalFormatting sqref="B428:B430">
    <cfRule type="duplicateValues" dxfId="15" priority="124369"/>
  </conditionalFormatting>
  <conditionalFormatting sqref="B431:B443">
    <cfRule type="duplicateValues" dxfId="14" priority="124550"/>
  </conditionalFormatting>
  <conditionalFormatting sqref="B466:B474">
    <cfRule type="duplicateValues" dxfId="13" priority="124903"/>
  </conditionalFormatting>
  <conditionalFormatting sqref="B475:B486">
    <cfRule type="duplicateValues" dxfId="12" priority="125079"/>
  </conditionalFormatting>
  <conditionalFormatting sqref="B487:B494">
    <cfRule type="duplicateValues" dxfId="11" priority="125255"/>
  </conditionalFormatting>
  <conditionalFormatting sqref="B496:B499">
    <cfRule type="duplicateValues" dxfId="10" priority="14"/>
  </conditionalFormatting>
  <conditionalFormatting sqref="B500:B507">
    <cfRule type="duplicateValues" dxfId="9" priority="125431"/>
  </conditionalFormatting>
  <conditionalFormatting sqref="B508:B519">
    <cfRule type="duplicateValues" dxfId="8" priority="13"/>
  </conditionalFormatting>
  <conditionalFormatting sqref="B520:B525">
    <cfRule type="duplicateValues" dxfId="7" priority="125607"/>
  </conditionalFormatting>
  <conditionalFormatting sqref="B527:B530">
    <cfRule type="duplicateValues" dxfId="6" priority="12"/>
  </conditionalFormatting>
  <conditionalFormatting sqref="B550:B554">
    <cfRule type="duplicateValues" dxfId="5" priority="125775"/>
  </conditionalFormatting>
  <conditionalFormatting sqref="B422:B426">
    <cfRule type="duplicateValues" dxfId="4" priority="126655"/>
  </conditionalFormatting>
  <conditionalFormatting sqref="B401:B412">
    <cfRule type="duplicateValues" dxfId="3" priority="126833"/>
  </conditionalFormatting>
  <conditionalFormatting sqref="B255:B262">
    <cfRule type="duplicateValues" dxfId="2" priority="127001"/>
  </conditionalFormatting>
  <conditionalFormatting sqref="B444:B453">
    <cfRule type="duplicateValues" dxfId="1" priority="127179"/>
  </conditionalFormatting>
  <conditionalFormatting sqref="B271:B275">
    <cfRule type="duplicateValues" dxfId="0" priority="127347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2022/2023&amp;R&amp;"Sparkasse Rg,Fett"&amp;12 &amp;F&amp;"Arial,Standard"&amp;10
</oddHeader>
  </headerFooter>
  <rowBreaks count="8" manualBreakCount="8">
    <brk id="31" min="1" max="8" man="1"/>
    <brk id="1" min="1" max="8" man="1"/>
    <brk id="152" min="1" max="8" man="1"/>
    <brk id="63" min="1" max="8" man="1"/>
    <brk id="396" min="1" max="8" man="1"/>
    <brk id="308" min="1" max="8" man="1"/>
    <brk id="494" min="1" max="8" man="1"/>
    <brk id="180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55" activePane="bottomRight" state="frozen"/>
      <selection activeCell="R42" sqref="R42"/>
      <selection pane="topRight" activeCell="R42" sqref="R42"/>
      <selection pane="bottomLeft" activeCell="R42" sqref="R42"/>
      <selection pane="bottomRight" activeCell="Q222" sqref="Q222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'[1]1. Spieltag'!A5</f>
        <v>Bremen</v>
      </c>
      <c r="E1" s="131" t="str">
        <f>'[1]1. Spieltag'!B5</f>
        <v>München</v>
      </c>
      <c r="F1" s="131"/>
      <c r="G1" s="131"/>
      <c r="H1" s="131"/>
      <c r="I1" s="132">
        <v>0</v>
      </c>
      <c r="J1" s="133">
        <v>4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'[1]1. Spieltag'!A6</f>
        <v>Dortmund</v>
      </c>
      <c r="E2" s="137" t="str">
        <f>'[1]1. Spieltag'!B6</f>
        <v>Köln</v>
      </c>
      <c r="F2" s="137"/>
      <c r="G2" s="137"/>
      <c r="H2" s="137"/>
      <c r="I2" s="138">
        <v>1</v>
      </c>
      <c r="J2" s="139">
        <v>0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'[1]1. Spieltag'!A7</f>
        <v>Union Berlin</v>
      </c>
      <c r="E3" s="137" t="str">
        <f>'[1]1. Spieltag'!B7</f>
        <v>Mainz</v>
      </c>
      <c r="F3" s="137"/>
      <c r="G3" s="137"/>
      <c r="H3" s="137"/>
      <c r="I3" s="138">
        <v>4</v>
      </c>
      <c r="J3" s="139">
        <v>1</v>
      </c>
      <c r="K3" s="128"/>
      <c r="L3" s="223" t="s">
        <v>9</v>
      </c>
      <c r="M3" s="224"/>
      <c r="N3" s="224"/>
      <c r="O3" s="224"/>
      <c r="P3" s="213">
        <f>Ergebniseingabe!B12</f>
        <v>4</v>
      </c>
      <c r="Q3" s="214">
        <f>Ergebniseingabe!B13</f>
        <v>0</v>
      </c>
      <c r="R3" s="223" t="s">
        <v>70</v>
      </c>
      <c r="S3" s="224"/>
      <c r="T3" s="224"/>
      <c r="U3" s="224"/>
      <c r="V3" s="215">
        <f>Ergebniseingabe!B30</f>
        <v>1</v>
      </c>
      <c r="W3" s="214">
        <f>Ergebniseingabe!B31</f>
        <v>2</v>
      </c>
    </row>
    <row r="4" spans="1:23" ht="13.5" x14ac:dyDescent="0.2">
      <c r="D4" s="136" t="str">
        <f>'[1]1. Spieltag'!A8</f>
        <v>Leverkusen</v>
      </c>
      <c r="E4" s="137" t="str">
        <f>'[1]1. Spieltag'!B8</f>
        <v>Leipzig</v>
      </c>
      <c r="F4" s="137"/>
      <c r="G4" s="137"/>
      <c r="H4" s="137"/>
      <c r="I4" s="138">
        <v>3</v>
      </c>
      <c r="J4" s="139">
        <v>2</v>
      </c>
      <c r="K4" s="128"/>
      <c r="L4" s="223" t="s">
        <v>356</v>
      </c>
      <c r="M4" s="224"/>
      <c r="N4" s="224"/>
      <c r="O4" s="224"/>
      <c r="P4" s="213">
        <f>Ergebniseingabe!B14</f>
        <v>0</v>
      </c>
      <c r="Q4" s="214">
        <f>Ergebniseingabe!B15</f>
        <v>4</v>
      </c>
      <c r="R4" s="223" t="s">
        <v>184</v>
      </c>
      <c r="S4" s="224"/>
      <c r="T4" s="224"/>
      <c r="U4" s="224"/>
      <c r="V4" s="215">
        <f>Ergebniseingabe!B32</f>
        <v>4</v>
      </c>
      <c r="W4" s="214">
        <f>Ergebniseingabe!B33</f>
        <v>1</v>
      </c>
    </row>
    <row r="5" spans="1:23" ht="13.5" x14ac:dyDescent="0.2">
      <c r="D5" s="136" t="str">
        <f>'[1]1. Spieltag'!A9</f>
        <v>Frankfurt</v>
      </c>
      <c r="E5" s="137" t="str">
        <f>'[1]1. Spieltag'!B9</f>
        <v>Darmstadt</v>
      </c>
      <c r="F5" s="137"/>
      <c r="G5" s="137"/>
      <c r="H5" s="137"/>
      <c r="I5" s="138">
        <v>1</v>
      </c>
      <c r="J5" s="139">
        <v>0</v>
      </c>
      <c r="K5" s="128"/>
      <c r="L5" s="223" t="s">
        <v>32</v>
      </c>
      <c r="M5" s="224"/>
      <c r="N5" s="224"/>
      <c r="O5" s="224"/>
      <c r="P5" s="213">
        <f>Ergebniseingabe!B16</f>
        <v>1</v>
      </c>
      <c r="Q5" s="214">
        <f>Ergebniseingabe!B17</f>
        <v>0</v>
      </c>
      <c r="R5" s="223" t="s">
        <v>188</v>
      </c>
      <c r="S5" s="224"/>
      <c r="T5" s="224"/>
      <c r="U5" s="224"/>
      <c r="V5" s="215">
        <f>Ergebniseingabe!B34</f>
        <v>0</v>
      </c>
      <c r="W5" s="214">
        <f>Ergebniseingabe!B35</f>
        <v>1</v>
      </c>
    </row>
    <row r="6" spans="1:23" ht="13.5" x14ac:dyDescent="0.2">
      <c r="D6" s="136" t="str">
        <f>'[1]1. Spieltag'!A10</f>
        <v>Wolfsburg</v>
      </c>
      <c r="E6" s="137" t="str">
        <f>'[1]1. Spieltag'!B10</f>
        <v>Heidenheim</v>
      </c>
      <c r="F6" s="137"/>
      <c r="G6" s="137"/>
      <c r="H6" s="137"/>
      <c r="I6" s="138">
        <v>2</v>
      </c>
      <c r="J6" s="139">
        <v>0</v>
      </c>
      <c r="K6" s="128"/>
      <c r="L6" s="223" t="s">
        <v>30</v>
      </c>
      <c r="M6" s="224"/>
      <c r="N6" s="224"/>
      <c r="O6" s="224"/>
      <c r="P6" s="213">
        <f>Ergebniseingabe!B18</f>
        <v>3</v>
      </c>
      <c r="Q6" s="214">
        <f>Ergebniseingabe!B19</f>
        <v>2</v>
      </c>
      <c r="R6" s="223" t="s">
        <v>475</v>
      </c>
      <c r="S6" s="224"/>
      <c r="T6" s="224"/>
      <c r="U6" s="224"/>
      <c r="V6" s="215">
        <f>Ergebniseingabe!B36</f>
        <v>0</v>
      </c>
      <c r="W6" s="214">
        <f>Ergebniseingabe!B37</f>
        <v>2</v>
      </c>
    </row>
    <row r="7" spans="1:23" ht="13.5" x14ac:dyDescent="0.2">
      <c r="D7" s="136" t="str">
        <f>'[1]1. Spieltag'!A11</f>
        <v>Hoffenheim</v>
      </c>
      <c r="E7" s="137" t="str">
        <f>'[1]1. Spieltag'!B11</f>
        <v>Freiburg</v>
      </c>
      <c r="F7" s="137"/>
      <c r="G7" s="137"/>
      <c r="H7" s="137"/>
      <c r="I7" s="138">
        <v>1</v>
      </c>
      <c r="J7" s="139">
        <v>2</v>
      </c>
      <c r="K7" s="128"/>
      <c r="L7" s="223" t="s">
        <v>476</v>
      </c>
      <c r="M7" s="224"/>
      <c r="N7" s="224"/>
      <c r="O7" s="224"/>
      <c r="P7" s="213">
        <f>Ergebniseingabe!B20</f>
        <v>0</v>
      </c>
      <c r="Q7" s="214">
        <f>Ergebniseingabe!B21</f>
        <v>1</v>
      </c>
      <c r="R7" s="223" t="s">
        <v>96</v>
      </c>
      <c r="S7" s="224"/>
      <c r="T7" s="224"/>
      <c r="U7" s="224"/>
      <c r="V7" s="215">
        <f>Ergebniseingabe!B38</f>
        <v>4</v>
      </c>
      <c r="W7" s="214">
        <f>Ergebniseingabe!B39</f>
        <v>4</v>
      </c>
    </row>
    <row r="8" spans="1:23" ht="13.5" x14ac:dyDescent="0.2">
      <c r="D8" s="136" t="str">
        <f>'[1]1. Spieltag'!A12</f>
        <v>Augsburg</v>
      </c>
      <c r="E8" s="137" t="str">
        <f>'[1]1. Spieltag'!B12</f>
        <v>M'gladbach</v>
      </c>
      <c r="F8" s="137"/>
      <c r="G8" s="137"/>
      <c r="H8" s="137"/>
      <c r="I8" s="138">
        <v>4</v>
      </c>
      <c r="J8" s="139">
        <v>4</v>
      </c>
      <c r="K8" s="128"/>
      <c r="L8" s="223" t="s">
        <v>128</v>
      </c>
      <c r="M8" s="224"/>
      <c r="N8" s="224"/>
      <c r="O8" s="224"/>
      <c r="P8" s="213">
        <f>Ergebniseingabe!B22</f>
        <v>2</v>
      </c>
      <c r="Q8" s="214">
        <f>Ergebniseingabe!B23</f>
        <v>3</v>
      </c>
      <c r="R8" s="223" t="s">
        <v>129</v>
      </c>
      <c r="S8" s="224"/>
      <c r="T8" s="224"/>
      <c r="U8" s="224"/>
      <c r="V8" s="215">
        <f>Ergebniseingabe!B40</f>
        <v>2</v>
      </c>
      <c r="W8" s="214">
        <f>Ergebniseingabe!B41</f>
        <v>1</v>
      </c>
    </row>
    <row r="9" spans="1:23" ht="14.25" thickBot="1" x14ac:dyDescent="0.25">
      <c r="D9" s="140" t="str">
        <f>'[1]1. Spieltag'!A13</f>
        <v>Stuttgart</v>
      </c>
      <c r="E9" s="141" t="str">
        <f>'[1]1. Spieltag'!B13</f>
        <v>Bochum</v>
      </c>
      <c r="F9" s="141"/>
      <c r="G9" s="141"/>
      <c r="H9" s="141"/>
      <c r="I9" s="170">
        <v>5</v>
      </c>
      <c r="J9" s="171">
        <v>0</v>
      </c>
      <c r="K9" s="128"/>
      <c r="L9" s="223" t="s">
        <v>277</v>
      </c>
      <c r="M9" s="224"/>
      <c r="N9" s="224"/>
      <c r="O9" s="224"/>
      <c r="P9" s="213">
        <f>Ergebniseingabe!B24</f>
        <v>0</v>
      </c>
      <c r="Q9" s="214">
        <f>Ergebniseingabe!B25</f>
        <v>5</v>
      </c>
      <c r="R9" s="223" t="s">
        <v>106</v>
      </c>
      <c r="S9" s="224"/>
      <c r="T9" s="224"/>
      <c r="U9" s="224"/>
      <c r="V9" s="215">
        <f>Ergebniseingabe!B42</f>
        <v>1</v>
      </c>
      <c r="W9" s="214">
        <f>Ergebniseingabe!B43</f>
        <v>0</v>
      </c>
    </row>
    <row r="10" spans="1:23" ht="13.5" customHeight="1" thickBot="1" x14ac:dyDescent="0.25">
      <c r="D10" s="53"/>
      <c r="G10" s="20"/>
      <c r="H10" s="11"/>
      <c r="I10" s="227">
        <f>SUM(I1:J9)</f>
        <v>34</v>
      </c>
      <c r="J10" s="227"/>
      <c r="K10" s="128"/>
      <c r="L10" s="223" t="s">
        <v>236</v>
      </c>
      <c r="M10" s="224"/>
      <c r="N10" s="224"/>
      <c r="O10" s="224"/>
      <c r="P10" s="213">
        <f>Ergebniseingabe!B26</f>
        <v>5</v>
      </c>
      <c r="Q10" s="214">
        <f>Ergebniseingabe!B27</f>
        <v>0</v>
      </c>
      <c r="R10" s="223" t="s">
        <v>120</v>
      </c>
      <c r="S10" s="224"/>
      <c r="T10" s="224"/>
      <c r="U10" s="224"/>
      <c r="V10" s="215">
        <f>Ergebniseingabe!B44</f>
        <v>1</v>
      </c>
      <c r="W10" s="214">
        <f>Ergebniseingabe!B45</f>
        <v>4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2</v>
      </c>
      <c r="Q11" s="214">
        <f>Ergebniseingabe!B29</f>
        <v>0</v>
      </c>
      <c r="R11" s="223" t="s">
        <v>69</v>
      </c>
      <c r="S11" s="224"/>
      <c r="T11" s="224"/>
      <c r="U11" s="224"/>
      <c r="V11" s="215">
        <f>Ergebniseingabe!B46</f>
        <v>4</v>
      </c>
      <c r="W11" s="214">
        <f>Ergebniseingabe!B47</f>
        <v>4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B15+B45+B77+B289+B166+B352+B232+B138+B194+B538+B105+B382+B264+B322+B439+B410+B507+B473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SUM(B16:B44)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0" si="0">IF(G16="x",10,0)</f>
        <v>0</v>
      </c>
      <c r="I16" s="153"/>
      <c r="J16" s="154">
        <f t="shared" ref="J16:J20" si="1">IF((I16="x"),-10,0)</f>
        <v>0</v>
      </c>
      <c r="K16" s="153"/>
      <c r="L16" s="154">
        <f t="shared" ref="L16:L20" si="2">IF((K16="x"),-20,0)</f>
        <v>0</v>
      </c>
      <c r="M16" s="153"/>
      <c r="N16" s="154">
        <f t="shared" ref="N16:N20" si="3">IF((M16="x"),-30,0)</f>
        <v>0</v>
      </c>
      <c r="O16" s="155">
        <f t="shared" ref="O16:O44" si="4">IF(AND($P$3&gt;$Q$3),20,IF($P$3=$Q$3,10,0))</f>
        <v>20</v>
      </c>
      <c r="P16" s="155">
        <f t="shared" ref="P16:P44" si="5">IF(($P$3&lt;&gt;0),$P$3*10,-5)</f>
        <v>40</v>
      </c>
      <c r="Q16" s="155">
        <f>IF(($Q$3&lt;&gt;0),$Q$3*-10,20)</f>
        <v>20</v>
      </c>
      <c r="R16" s="153"/>
      <c r="S16" s="154">
        <f>R16*20</f>
        <v>0</v>
      </c>
      <c r="T16" s="153"/>
      <c r="U16" s="154">
        <f t="shared" ref="U16:U20" si="6">T16*-15</f>
        <v>0</v>
      </c>
      <c r="V16" s="155">
        <f t="shared" ref="V16:V20" si="7">IF(AND(R16=2),10,IF(R16=3,30,IF(R16=4,50,IF(R16=5,70,0))))</f>
        <v>0</v>
      </c>
      <c r="W16" s="156">
        <f t="shared" ref="W16:W20" si="8">IF(G16="x",H16+J16+L16+N16+O16+P16+Q16+S16+U16+V16,0)</f>
        <v>0</v>
      </c>
    </row>
    <row r="17" spans="1:23" ht="10.5" customHeight="1" x14ac:dyDescent="0.2">
      <c r="A17" s="11"/>
      <c r="B17" s="163">
        <f>COUNTA(Spieltag!K4:AA4)</f>
        <v>1</v>
      </c>
      <c r="C17" s="166">
        <f>Spieltag!A4</f>
        <v>26</v>
      </c>
      <c r="D17" s="21" t="str">
        <f>Spieltag!B4</f>
        <v>Sven Ulreich</v>
      </c>
      <c r="E17" s="12" t="str">
        <f>Spieltag!C4</f>
        <v>Torwart</v>
      </c>
      <c r="F17" s="13" t="s">
        <v>54</v>
      </c>
      <c r="G17" s="14" t="s">
        <v>676</v>
      </c>
      <c r="H17" s="15">
        <f t="shared" ref="H17" si="9">IF(G17="x",10,0)</f>
        <v>10</v>
      </c>
      <c r="I17" s="14"/>
      <c r="J17" s="15">
        <f t="shared" ref="J17" si="10">IF((I17="x"),-10,0)</f>
        <v>0</v>
      </c>
      <c r="K17" s="14"/>
      <c r="L17" s="15">
        <f t="shared" ref="L17" si="11">IF((K17="x"),-20,0)</f>
        <v>0</v>
      </c>
      <c r="M17" s="14"/>
      <c r="N17" s="15">
        <f t="shared" ref="N17" si="12">IF((M17="x"),-30,0)</f>
        <v>0</v>
      </c>
      <c r="O17" s="16">
        <f t="shared" si="4"/>
        <v>20</v>
      </c>
      <c r="P17" s="16">
        <f t="shared" si="5"/>
        <v>40</v>
      </c>
      <c r="Q17" s="16">
        <f>IF(($Q$3&lt;&gt;0),$Q$3*-10,20)</f>
        <v>20</v>
      </c>
      <c r="R17" s="14"/>
      <c r="S17" s="15">
        <f>R17*20</f>
        <v>0</v>
      </c>
      <c r="T17" s="14"/>
      <c r="U17" s="15">
        <f t="shared" ref="U17" si="13">T17*-15</f>
        <v>0</v>
      </c>
      <c r="V17" s="16">
        <f t="shared" ref="V17" si="14">IF(AND(R17=2),10,IF(R17=3,30,IF(R17=4,50,IF(R17=5,70,0))))</f>
        <v>0</v>
      </c>
      <c r="W17" s="17">
        <f t="shared" ref="W17" si="15">IF(G17="x",H17+J17+L17+N17+O17+P17+Q17+S17+U17+V17,0)</f>
        <v>90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43</v>
      </c>
      <c r="D18" s="21" t="str">
        <f>Spieltag!B5</f>
        <v>Tom Hülsmann</v>
      </c>
      <c r="E18" s="12" t="str">
        <f>Spieltag!C5</f>
        <v>Torwart</v>
      </c>
      <c r="F18" s="13" t="s">
        <v>54</v>
      </c>
      <c r="G18" s="14"/>
      <c r="H18" s="15">
        <f t="shared" si="0"/>
        <v>0</v>
      </c>
      <c r="I18" s="14"/>
      <c r="J18" s="15">
        <f t="shared" si="1"/>
        <v>0</v>
      </c>
      <c r="K18" s="14"/>
      <c r="L18" s="15">
        <f t="shared" si="2"/>
        <v>0</v>
      </c>
      <c r="M18" s="14"/>
      <c r="N18" s="15">
        <f t="shared" si="3"/>
        <v>0</v>
      </c>
      <c r="O18" s="16">
        <f t="shared" si="4"/>
        <v>20</v>
      </c>
      <c r="P18" s="16">
        <f t="shared" si="5"/>
        <v>40</v>
      </c>
      <c r="Q18" s="16">
        <f>IF(($Q$3&lt;&gt;0),$Q$3*-10,20)</f>
        <v>20</v>
      </c>
      <c r="R18" s="14"/>
      <c r="S18" s="15">
        <f>R18*20</f>
        <v>0</v>
      </c>
      <c r="T18" s="14"/>
      <c r="U18" s="15">
        <f t="shared" si="6"/>
        <v>0</v>
      </c>
      <c r="V18" s="16">
        <f t="shared" si="7"/>
        <v>0</v>
      </c>
      <c r="W18" s="17">
        <f t="shared" si="8"/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2</v>
      </c>
      <c r="D19" s="21" t="str">
        <f>Spieltag!B6</f>
        <v>Dayot Upamecano (A)</v>
      </c>
      <c r="E19" s="12" t="str">
        <f>Spieltag!C6</f>
        <v>Abwehr</v>
      </c>
      <c r="F19" s="13" t="s">
        <v>54</v>
      </c>
      <c r="G19" s="14"/>
      <c r="H19" s="15">
        <f t="shared" ref="H19" si="16">IF(G19="x",10,0)</f>
        <v>0</v>
      </c>
      <c r="I19" s="14"/>
      <c r="J19" s="15">
        <f t="shared" ref="J19" si="17">IF((I19="x"),-10,0)</f>
        <v>0</v>
      </c>
      <c r="K19" s="14"/>
      <c r="L19" s="15">
        <f t="shared" ref="L19" si="18">IF((K19="x"),-20,0)</f>
        <v>0</v>
      </c>
      <c r="M19" s="14"/>
      <c r="N19" s="15">
        <f t="shared" ref="N19" si="19">IF((M19="x"),-30,0)</f>
        <v>0</v>
      </c>
      <c r="O19" s="16">
        <f t="shared" si="4"/>
        <v>20</v>
      </c>
      <c r="P19" s="16">
        <f t="shared" si="5"/>
        <v>40</v>
      </c>
      <c r="Q19" s="16">
        <f t="shared" ref="Q19:Q29" si="20">IF(($Q$3&lt;&gt;0),$Q$3*-10,15)</f>
        <v>15</v>
      </c>
      <c r="R19" s="14"/>
      <c r="S19" s="15">
        <f>R19*15</f>
        <v>0</v>
      </c>
      <c r="T19" s="14"/>
      <c r="U19" s="15">
        <f t="shared" ref="U19" si="21">T19*-15</f>
        <v>0</v>
      </c>
      <c r="V19" s="16">
        <f t="shared" ref="V19" si="22">IF(AND(R19=2),10,IF(R19=3,30,IF(R19=4,50,IF(R19=5,70,0))))</f>
        <v>0</v>
      </c>
      <c r="W19" s="17">
        <f t="shared" ref="W19" si="23">IF(G19="x",H19+J19+L19+N19+O19+P19+Q19+S19+U19+V19,0)</f>
        <v>0</v>
      </c>
    </row>
    <row r="20" spans="1:23" ht="10.5" customHeight="1" x14ac:dyDescent="0.2">
      <c r="A20" s="11"/>
      <c r="B20" s="163">
        <f>COUNTA(Spieltag!K7:AA7)</f>
        <v>3</v>
      </c>
      <c r="C20" s="166">
        <f>Spieltag!A7</f>
        <v>3</v>
      </c>
      <c r="D20" s="21" t="str">
        <f>Spieltag!B7</f>
        <v>Min-Jae Kim (A)</v>
      </c>
      <c r="E20" s="12" t="str">
        <f>Spieltag!C7</f>
        <v>Abwehr</v>
      </c>
      <c r="F20" s="13" t="s">
        <v>54</v>
      </c>
      <c r="G20" s="14" t="s">
        <v>676</v>
      </c>
      <c r="H20" s="15">
        <f t="shared" si="0"/>
        <v>10</v>
      </c>
      <c r="I20" s="14" t="s">
        <v>676</v>
      </c>
      <c r="J20" s="15">
        <f t="shared" si="1"/>
        <v>-10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40</v>
      </c>
      <c r="Q20" s="16">
        <f t="shared" si="20"/>
        <v>15</v>
      </c>
      <c r="R20" s="14"/>
      <c r="S20" s="15">
        <f>R20*15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75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4</v>
      </c>
      <c r="D21" s="21" t="str">
        <f>Spieltag!B8</f>
        <v>Matthijs de Ligt (A)</v>
      </c>
      <c r="E21" s="12" t="str">
        <f>Spieltag!C8</f>
        <v>Abwehr</v>
      </c>
      <c r="F21" s="13" t="s">
        <v>54</v>
      </c>
      <c r="G21" s="14"/>
      <c r="H21" s="15">
        <f t="shared" ref="H21" si="24">IF(G21="x",10,0)</f>
        <v>0</v>
      </c>
      <c r="I21" s="14"/>
      <c r="J21" s="15">
        <f t="shared" ref="J21" si="25">IF((I21="x"),-10,0)</f>
        <v>0</v>
      </c>
      <c r="K21" s="14"/>
      <c r="L21" s="15">
        <f t="shared" ref="L21" si="26">IF((K21="x"),-20,0)</f>
        <v>0</v>
      </c>
      <c r="M21" s="14"/>
      <c r="N21" s="15">
        <f t="shared" ref="N21" si="27">IF((M21="x"),-30,0)</f>
        <v>0</v>
      </c>
      <c r="O21" s="16">
        <f t="shared" si="4"/>
        <v>20</v>
      </c>
      <c r="P21" s="16">
        <f t="shared" si="5"/>
        <v>40</v>
      </c>
      <c r="Q21" s="16">
        <f t="shared" si="20"/>
        <v>15</v>
      </c>
      <c r="R21" s="14"/>
      <c r="S21" s="15">
        <f t="shared" ref="S21" si="28">R21*15</f>
        <v>0</v>
      </c>
      <c r="T21" s="14"/>
      <c r="U21" s="15">
        <f t="shared" ref="U21" si="29">T21*-15</f>
        <v>0</v>
      </c>
      <c r="V21" s="16">
        <f t="shared" ref="V21" si="30">IF(AND(R21=2),10,IF(R21=3,30,IF(R21=4,50,IF(R21=5,70,0))))</f>
        <v>0</v>
      </c>
      <c r="W21" s="17">
        <f t="shared" ref="W21" si="31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5</v>
      </c>
      <c r="D22" s="21" t="str">
        <f>Spieltag!B9</f>
        <v>Benjamin Pavard (A)</v>
      </c>
      <c r="E22" s="12" t="str">
        <f>Spieltag!C9</f>
        <v>Abwehr</v>
      </c>
      <c r="F22" s="13" t="s">
        <v>54</v>
      </c>
      <c r="G22" s="14"/>
      <c r="H22" s="15">
        <f t="shared" ref="H22:H29" si="32">IF(G22="x",10,0)</f>
        <v>0</v>
      </c>
      <c r="I22" s="14"/>
      <c r="J22" s="15">
        <f t="shared" ref="J22:J29" si="33">IF((I22="x"),-10,0)</f>
        <v>0</v>
      </c>
      <c r="K22" s="14"/>
      <c r="L22" s="15">
        <f t="shared" ref="L22:L29" si="34">IF((K22="x"),-20,0)</f>
        <v>0</v>
      </c>
      <c r="M22" s="14"/>
      <c r="N22" s="15">
        <f t="shared" ref="N22:N29" si="35">IF((M22="x"),-30,0)</f>
        <v>0</v>
      </c>
      <c r="O22" s="16">
        <f t="shared" si="4"/>
        <v>20</v>
      </c>
      <c r="P22" s="16">
        <f t="shared" si="5"/>
        <v>40</v>
      </c>
      <c r="Q22" s="16">
        <f t="shared" si="20"/>
        <v>15</v>
      </c>
      <c r="R22" s="14"/>
      <c r="S22" s="15">
        <f t="shared" ref="S22:S29" si="36">R22*15</f>
        <v>0</v>
      </c>
      <c r="T22" s="14"/>
      <c r="U22" s="15">
        <f t="shared" ref="U22:U29" si="37">T22*-15</f>
        <v>0</v>
      </c>
      <c r="V22" s="16">
        <f t="shared" ref="V22:V29" si="38">IF(AND(R22=2),10,IF(R22=3,30,IF(R22=4,50,IF(R22=5,70,0))))</f>
        <v>0</v>
      </c>
      <c r="W22" s="17">
        <f t="shared" ref="W22:W29" si="39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si="32"/>
        <v>0</v>
      </c>
      <c r="I23" s="14"/>
      <c r="J23" s="15">
        <f t="shared" si="33"/>
        <v>0</v>
      </c>
      <c r="K23" s="14"/>
      <c r="L23" s="15">
        <f t="shared" si="34"/>
        <v>0</v>
      </c>
      <c r="M23" s="14"/>
      <c r="N23" s="15">
        <f t="shared" si="35"/>
        <v>0</v>
      </c>
      <c r="O23" s="16">
        <f t="shared" si="4"/>
        <v>20</v>
      </c>
      <c r="P23" s="16">
        <f t="shared" si="5"/>
        <v>40</v>
      </c>
      <c r="Q23" s="16">
        <f t="shared" si="20"/>
        <v>15</v>
      </c>
      <c r="R23" s="14"/>
      <c r="S23" s="15">
        <f t="shared" si="36"/>
        <v>0</v>
      </c>
      <c r="T23" s="14"/>
      <c r="U23" s="15">
        <f t="shared" si="37"/>
        <v>0</v>
      </c>
      <c r="V23" s="16">
        <f t="shared" si="38"/>
        <v>0</v>
      </c>
      <c r="W23" s="17">
        <f t="shared" si="39"/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40</v>
      </c>
      <c r="Q24" s="16">
        <f t="shared" si="20"/>
        <v>15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40</v>
      </c>
      <c r="Q25" s="16">
        <f t="shared" si="20"/>
        <v>15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40</v>
      </c>
      <c r="Q26" s="16">
        <f t="shared" si="20"/>
        <v>15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40</v>
      </c>
      <c r="Q27" s="16">
        <f t="shared" si="20"/>
        <v>15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40</v>
      </c>
      <c r="Q28" s="16">
        <f t="shared" si="20"/>
        <v>15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44</v>
      </c>
      <c r="D29" s="21" t="str">
        <f>Spieltag!B16</f>
        <v>Josip Stanisic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20</v>
      </c>
      <c r="P29" s="16">
        <f t="shared" si="5"/>
        <v>40</v>
      </c>
      <c r="Q29" s="16">
        <f t="shared" si="20"/>
        <v>15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customHeight="1" x14ac:dyDescent="0.2">
      <c r="A30" s="11"/>
      <c r="B30" s="163">
        <f>COUNTA(Spieltag!K17:AA17)</f>
        <v>5</v>
      </c>
      <c r="C30" s="166">
        <f>Spieltag!A17</f>
        <v>6</v>
      </c>
      <c r="D30" s="21" t="str">
        <f>Spieltag!B17</f>
        <v>Joshua Kimmich</v>
      </c>
      <c r="E30" s="12" t="str">
        <f>Spieltag!C17</f>
        <v>Mittelfeld</v>
      </c>
      <c r="F30" s="13" t="s">
        <v>54</v>
      </c>
      <c r="G30" s="14" t="s">
        <v>676</v>
      </c>
      <c r="H30" s="15">
        <f>IF(G30="x",10,0)</f>
        <v>10</v>
      </c>
      <c r="I30" s="14"/>
      <c r="J30" s="15">
        <f>IF((I30="x"),-10,0)</f>
        <v>0</v>
      </c>
      <c r="K30" s="14"/>
      <c r="L30" s="15">
        <f>IF((K30="x"),-20,0)</f>
        <v>0</v>
      </c>
      <c r="M30" s="14"/>
      <c r="N30" s="15">
        <f>IF((M30="x"),-30,0)</f>
        <v>0</v>
      </c>
      <c r="O30" s="16">
        <f t="shared" si="4"/>
        <v>20</v>
      </c>
      <c r="P30" s="16">
        <f t="shared" si="5"/>
        <v>40</v>
      </c>
      <c r="Q30" s="16">
        <f t="shared" ref="Q30:Q35" si="56">IF(($Q$3&lt;&gt;0),$Q$3*-10,10)</f>
        <v>10</v>
      </c>
      <c r="R30" s="14"/>
      <c r="S30" s="15">
        <f>R30*10</f>
        <v>0</v>
      </c>
      <c r="T30" s="14"/>
      <c r="U30" s="15">
        <f>T30*-15</f>
        <v>0</v>
      </c>
      <c r="V30" s="16">
        <f>IF(AND(R30=2),10,IF(R30=3,30,IF(R30=4,50,IF(R30=5,70,0))))</f>
        <v>0</v>
      </c>
      <c r="W30" s="17">
        <f>IF(G30="x",H30+J30+L30+N30+O30+P30+Q30+S30+U30+V30,0)</f>
        <v>80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8</v>
      </c>
      <c r="D31" s="21" t="str">
        <f>Spieltag!B18</f>
        <v>Leon Goretzka</v>
      </c>
      <c r="E31" s="12" t="str">
        <f>Spieltag!C18</f>
        <v>Mittelfeld</v>
      </c>
      <c r="F31" s="13" t="s">
        <v>54</v>
      </c>
      <c r="G31" s="14"/>
      <c r="H31" s="15">
        <f t="shared" ref="H31:H35" si="57">IF(G31="x",10,0)</f>
        <v>0</v>
      </c>
      <c r="I31" s="14"/>
      <c r="J31" s="15">
        <f t="shared" ref="J31:J35" si="58">IF((I31="x"),-10,0)</f>
        <v>0</v>
      </c>
      <c r="K31" s="14"/>
      <c r="L31" s="15">
        <f t="shared" ref="L31:L35" si="59">IF((K31="x"),-20,0)</f>
        <v>0</v>
      </c>
      <c r="M31" s="14"/>
      <c r="N31" s="15">
        <f t="shared" ref="N31:N35" si="60">IF((M31="x"),-30,0)</f>
        <v>0</v>
      </c>
      <c r="O31" s="16">
        <f t="shared" si="4"/>
        <v>20</v>
      </c>
      <c r="P31" s="16">
        <f t="shared" si="5"/>
        <v>40</v>
      </c>
      <c r="Q31" s="16">
        <f t="shared" si="56"/>
        <v>10</v>
      </c>
      <c r="R31" s="14"/>
      <c r="S31" s="15">
        <f t="shared" ref="S31:S35" si="61">R31*10</f>
        <v>0</v>
      </c>
      <c r="T31" s="14"/>
      <c r="U31" s="15">
        <f t="shared" ref="U31:U35" si="62">T31*-15</f>
        <v>0</v>
      </c>
      <c r="V31" s="16">
        <f t="shared" ref="V31:V35" si="63">IF(AND(R31=2),10,IF(R31=3,30,IF(R31=4,50,IF(R31=5,70,0))))</f>
        <v>0</v>
      </c>
      <c r="W31" s="17">
        <f t="shared" ref="W31:W35" si="64">IF(G31="x",H31+J31+L31+N31+O31+P31+Q31+S31+U31+V31,0)</f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14</v>
      </c>
      <c r="D32" s="21" t="str">
        <f>Spieltag!B19</f>
        <v>Paul Wanner</v>
      </c>
      <c r="E32" s="12" t="str">
        <f>Spieltag!C19</f>
        <v>Mittelfeld</v>
      </c>
      <c r="F32" s="13" t="s">
        <v>54</v>
      </c>
      <c r="G32" s="14"/>
      <c r="H32" s="15">
        <f t="shared" si="57"/>
        <v>0</v>
      </c>
      <c r="I32" s="14"/>
      <c r="J32" s="15">
        <f t="shared" si="58"/>
        <v>0</v>
      </c>
      <c r="K32" s="14"/>
      <c r="L32" s="15">
        <f t="shared" si="59"/>
        <v>0</v>
      </c>
      <c r="M32" s="14"/>
      <c r="N32" s="15">
        <f t="shared" si="60"/>
        <v>0</v>
      </c>
      <c r="O32" s="16">
        <f t="shared" si="4"/>
        <v>20</v>
      </c>
      <c r="P32" s="16">
        <f t="shared" si="5"/>
        <v>40</v>
      </c>
      <c r="Q32" s="16">
        <f t="shared" si="56"/>
        <v>10</v>
      </c>
      <c r="R32" s="14"/>
      <c r="S32" s="15">
        <f t="shared" si="61"/>
        <v>0</v>
      </c>
      <c r="T32" s="14"/>
      <c r="U32" s="15">
        <f t="shared" si="62"/>
        <v>0</v>
      </c>
      <c r="V32" s="16">
        <f t="shared" si="63"/>
        <v>0</v>
      </c>
      <c r="W32" s="17">
        <f t="shared" si="64"/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27</v>
      </c>
      <c r="D33" s="21" t="str">
        <f>Spieltag!B20</f>
        <v>Konrad Laimer (A)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40</v>
      </c>
      <c r="Q33" s="16">
        <f t="shared" si="56"/>
        <v>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38</v>
      </c>
      <c r="D34" s="21" t="str">
        <f>Spieltag!B21</f>
        <v>Ryan Gravenberch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20</v>
      </c>
      <c r="P34" s="16">
        <f t="shared" si="5"/>
        <v>40</v>
      </c>
      <c r="Q34" s="16">
        <f t="shared" si="56"/>
        <v>10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customHeight="1" x14ac:dyDescent="0.2">
      <c r="A35" s="11"/>
      <c r="B35" s="163">
        <f>COUNTA(Spieltag!K22:AA22)</f>
        <v>3</v>
      </c>
      <c r="C35" s="166">
        <f>Spieltag!A22</f>
        <v>42</v>
      </c>
      <c r="D35" s="21" t="str">
        <f>Spieltag!B22</f>
        <v>Jamal Musiala</v>
      </c>
      <c r="E35" s="12" t="str">
        <f>Spieltag!C22</f>
        <v>Mittelfeld</v>
      </c>
      <c r="F35" s="13" t="s">
        <v>54</v>
      </c>
      <c r="G35" s="14" t="s">
        <v>676</v>
      </c>
      <c r="H35" s="15">
        <f t="shared" si="57"/>
        <v>10</v>
      </c>
      <c r="I35" s="14"/>
      <c r="J35" s="15">
        <f t="shared" si="58"/>
        <v>0</v>
      </c>
      <c r="K35" s="14"/>
      <c r="L35" s="15">
        <f t="shared" si="59"/>
        <v>0</v>
      </c>
      <c r="M35" s="14"/>
      <c r="N35" s="15">
        <f t="shared" si="60"/>
        <v>0</v>
      </c>
      <c r="O35" s="16">
        <f t="shared" si="4"/>
        <v>20</v>
      </c>
      <c r="P35" s="16">
        <f t="shared" si="5"/>
        <v>40</v>
      </c>
      <c r="Q35" s="16">
        <f t="shared" si="56"/>
        <v>10</v>
      </c>
      <c r="R35" s="14"/>
      <c r="S35" s="15">
        <f t="shared" si="61"/>
        <v>0</v>
      </c>
      <c r="T35" s="14"/>
      <c r="U35" s="15">
        <f t="shared" si="62"/>
        <v>0</v>
      </c>
      <c r="V35" s="16">
        <f t="shared" si="63"/>
        <v>0</v>
      </c>
      <c r="W35" s="17">
        <f t="shared" si="64"/>
        <v>80</v>
      </c>
    </row>
    <row r="36" spans="1:23" ht="10.5" customHeight="1" x14ac:dyDescent="0.2">
      <c r="A36" s="11"/>
      <c r="B36" s="163">
        <f>COUNTA(Spieltag!K23:AA23)</f>
        <v>4</v>
      </c>
      <c r="C36" s="166">
        <f>Spieltag!A23</f>
        <v>7</v>
      </c>
      <c r="D36" s="21" t="str">
        <f>Spieltag!B23</f>
        <v>Serge Gnabry</v>
      </c>
      <c r="E36" s="12" t="str">
        <f>Spieltag!C23</f>
        <v>Sturm</v>
      </c>
      <c r="F36" s="13" t="s">
        <v>54</v>
      </c>
      <c r="G36" s="14" t="s">
        <v>59</v>
      </c>
      <c r="H36" s="15">
        <f>IF(G36="x",10,0)</f>
        <v>0</v>
      </c>
      <c r="I36" s="14"/>
      <c r="J36" s="15">
        <f>IF((I36="x"),-10,0)</f>
        <v>0</v>
      </c>
      <c r="K36" s="14"/>
      <c r="L36" s="15">
        <f>IF((K36="x"),-20,0)</f>
        <v>0</v>
      </c>
      <c r="M36" s="14"/>
      <c r="N36" s="15">
        <f>IF((M36="x"),-30,0)</f>
        <v>0</v>
      </c>
      <c r="O36" s="16">
        <f t="shared" si="4"/>
        <v>20</v>
      </c>
      <c r="P36" s="16">
        <f t="shared" si="5"/>
        <v>40</v>
      </c>
      <c r="Q36" s="16">
        <f>IF(($Q$3&lt;&gt;0),$Q$3*-10,5)</f>
        <v>5</v>
      </c>
      <c r="R36" s="14"/>
      <c r="S36" s="15">
        <f>R36*10</f>
        <v>0</v>
      </c>
      <c r="T36" s="14"/>
      <c r="U36" s="15">
        <f>T36*-15</f>
        <v>0</v>
      </c>
      <c r="V36" s="16">
        <f>IF(AND(R36=2),10,IF(R36=3,30,IF(R36=4,50,IF(R36=5,70,0))))</f>
        <v>0</v>
      </c>
      <c r="W36" s="17">
        <f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9</v>
      </c>
      <c r="D37" s="21" t="str">
        <f>Spieltag!B24</f>
        <v>Harry Kane (A)</v>
      </c>
      <c r="E37" s="12" t="str">
        <f>Spieltag!C24</f>
        <v>Sturm</v>
      </c>
      <c r="F37" s="13" t="s">
        <v>54</v>
      </c>
      <c r="G37" s="14"/>
      <c r="H37" s="15">
        <f t="shared" ref="H37" si="65">IF(G37="x",10,0)</f>
        <v>0</v>
      </c>
      <c r="I37" s="14"/>
      <c r="J37" s="15">
        <f t="shared" ref="J37" si="66">IF((I37="x"),-10,0)</f>
        <v>0</v>
      </c>
      <c r="K37" s="14"/>
      <c r="L37" s="15">
        <f t="shared" ref="L37" si="67">IF((K37="x"),-20,0)</f>
        <v>0</v>
      </c>
      <c r="M37" s="14"/>
      <c r="N37" s="15">
        <f t="shared" ref="N37" si="68">IF((M37="x"),-30,0)</f>
        <v>0</v>
      </c>
      <c r="O37" s="16">
        <f t="shared" si="4"/>
        <v>20</v>
      </c>
      <c r="P37" s="16">
        <f t="shared" si="5"/>
        <v>40</v>
      </c>
      <c r="Q37" s="16">
        <f t="shared" ref="Q37:Q44" si="69">IF(($Q$3&lt;&gt;0),$Q$3*-10,5)</f>
        <v>5</v>
      </c>
      <c r="R37" s="14"/>
      <c r="S37" s="15">
        <f t="shared" ref="S37" si="70">R37*10</f>
        <v>0</v>
      </c>
      <c r="T37" s="14"/>
      <c r="U37" s="15">
        <f t="shared" ref="U37" si="71">T37*-15</f>
        <v>0</v>
      </c>
      <c r="V37" s="16">
        <f t="shared" ref="V37" si="72">IF(AND(R37=2),10,IF(R37=3,30,IF(R37=4,50,IF(R37=5,70,0))))</f>
        <v>0</v>
      </c>
      <c r="W37" s="17">
        <f t="shared" ref="W37" si="73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1</v>
      </c>
      <c r="C38" s="166">
        <f>Spieltag!A25</f>
        <v>10</v>
      </c>
      <c r="D38" s="21" t="str">
        <f>Spieltag!B25</f>
        <v>Leroy Sane</v>
      </c>
      <c r="E38" s="12" t="str">
        <f>Spieltag!C25</f>
        <v>Sturm</v>
      </c>
      <c r="F38" s="13" t="s">
        <v>54</v>
      </c>
      <c r="G38" s="14" t="s">
        <v>676</v>
      </c>
      <c r="H38" s="15">
        <f t="shared" ref="H38:H44" si="74">IF(G38="x",10,0)</f>
        <v>10</v>
      </c>
      <c r="I38" s="14"/>
      <c r="J38" s="15">
        <f t="shared" ref="J38:J44" si="75">IF((I38="x"),-10,0)</f>
        <v>0</v>
      </c>
      <c r="K38" s="14"/>
      <c r="L38" s="15">
        <f t="shared" ref="L38:L44" si="76">IF((K38="x"),-20,0)</f>
        <v>0</v>
      </c>
      <c r="M38" s="14"/>
      <c r="N38" s="15">
        <f t="shared" ref="N38:N44" si="77">IF((M38="x"),-30,0)</f>
        <v>0</v>
      </c>
      <c r="O38" s="16">
        <f t="shared" si="4"/>
        <v>20</v>
      </c>
      <c r="P38" s="16">
        <f t="shared" si="5"/>
        <v>40</v>
      </c>
      <c r="Q38" s="16">
        <f t="shared" si="69"/>
        <v>5</v>
      </c>
      <c r="R38" s="14">
        <v>2</v>
      </c>
      <c r="S38" s="15">
        <f t="shared" ref="S38:S44" si="78">R38*10</f>
        <v>20</v>
      </c>
      <c r="T38" s="14"/>
      <c r="U38" s="15">
        <f t="shared" ref="U38:U44" si="79">T38*-15</f>
        <v>0</v>
      </c>
      <c r="V38" s="16">
        <f t="shared" ref="V38:V44" si="80">IF(AND(R38=2),10,IF(R38=3,30,IF(R38=4,50,IF(R38=5,70,0))))</f>
        <v>10</v>
      </c>
      <c r="W38" s="17">
        <f t="shared" ref="W38:W44" si="81">IF(G38="x",H38+J38+L38+N38+O38+P38+Q38+S38+U38+V38,0)</f>
        <v>105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11</v>
      </c>
      <c r="D39" s="21" t="str">
        <f>Spieltag!B26</f>
        <v>Kingsley Coman (A)</v>
      </c>
      <c r="E39" s="12" t="str">
        <f>Spieltag!C26</f>
        <v>Sturm</v>
      </c>
      <c r="F39" s="13" t="s">
        <v>54</v>
      </c>
      <c r="G39" s="14"/>
      <c r="H39" s="15">
        <f t="shared" si="74"/>
        <v>0</v>
      </c>
      <c r="I39" s="14"/>
      <c r="J39" s="15">
        <f t="shared" si="75"/>
        <v>0</v>
      </c>
      <c r="K39" s="14"/>
      <c r="L39" s="15">
        <f t="shared" si="76"/>
        <v>0</v>
      </c>
      <c r="M39" s="14"/>
      <c r="N39" s="15">
        <f t="shared" si="77"/>
        <v>0</v>
      </c>
      <c r="O39" s="16">
        <f t="shared" si="4"/>
        <v>20</v>
      </c>
      <c r="P39" s="16">
        <f t="shared" si="5"/>
        <v>40</v>
      </c>
      <c r="Q39" s="16">
        <f t="shared" si="69"/>
        <v>5</v>
      </c>
      <c r="R39" s="14"/>
      <c r="S39" s="15">
        <f t="shared" si="78"/>
        <v>0</v>
      </c>
      <c r="T39" s="14"/>
      <c r="U39" s="15">
        <f t="shared" si="79"/>
        <v>0</v>
      </c>
      <c r="V39" s="16">
        <f t="shared" si="80"/>
        <v>0</v>
      </c>
      <c r="W39" s="17">
        <f t="shared" si="81"/>
        <v>0</v>
      </c>
    </row>
    <row r="40" spans="1:23" ht="10.5" customHeight="1" x14ac:dyDescent="0.2">
      <c r="A40" s="11"/>
      <c r="B40" s="163">
        <f>COUNTA(Spieltag!K27:AA27)</f>
        <v>1</v>
      </c>
      <c r="C40" s="166">
        <f>Spieltag!A27</f>
        <v>13</v>
      </c>
      <c r="D40" s="21" t="str">
        <f>Spieltag!B27</f>
        <v>Eric-Maxim Choupo-Moting</v>
      </c>
      <c r="E40" s="12" t="str">
        <f>Spieltag!C27</f>
        <v>Sturm</v>
      </c>
      <c r="F40" s="13" t="s">
        <v>54</v>
      </c>
      <c r="G40" s="14" t="s">
        <v>676</v>
      </c>
      <c r="H40" s="15">
        <f t="shared" si="74"/>
        <v>10</v>
      </c>
      <c r="I40" s="14"/>
      <c r="J40" s="15">
        <f t="shared" si="75"/>
        <v>0</v>
      </c>
      <c r="K40" s="14"/>
      <c r="L40" s="15">
        <f t="shared" si="76"/>
        <v>0</v>
      </c>
      <c r="M40" s="14"/>
      <c r="N40" s="15">
        <f t="shared" si="77"/>
        <v>0</v>
      </c>
      <c r="O40" s="16">
        <f t="shared" si="4"/>
        <v>20</v>
      </c>
      <c r="P40" s="16">
        <f t="shared" si="5"/>
        <v>40</v>
      </c>
      <c r="Q40" s="16">
        <f t="shared" si="69"/>
        <v>5</v>
      </c>
      <c r="R40" s="14"/>
      <c r="S40" s="15">
        <f t="shared" si="78"/>
        <v>0</v>
      </c>
      <c r="T40" s="14"/>
      <c r="U40" s="15">
        <f t="shared" si="79"/>
        <v>0</v>
      </c>
      <c r="V40" s="16">
        <f t="shared" si="80"/>
        <v>0</v>
      </c>
      <c r="W40" s="17">
        <f t="shared" si="81"/>
        <v>75</v>
      </c>
    </row>
    <row r="41" spans="1:23" ht="10.5" hidden="1" customHeight="1" x14ac:dyDescent="0.2">
      <c r="A41" s="11"/>
      <c r="B41" s="163">
        <f>COUNTA(Spieltag!K28:AA28)</f>
        <v>0</v>
      </c>
      <c r="C41" s="166">
        <f>Spieltag!A28</f>
        <v>25</v>
      </c>
      <c r="D41" s="21" t="str">
        <f>Spieltag!B28</f>
        <v>Thomas Müller</v>
      </c>
      <c r="E41" s="12" t="str">
        <f>Spieltag!C28</f>
        <v>Sturm</v>
      </c>
      <c r="F41" s="13" t="s">
        <v>54</v>
      </c>
      <c r="G41" s="14"/>
      <c r="H41" s="15">
        <f t="shared" si="74"/>
        <v>0</v>
      </c>
      <c r="I41" s="14"/>
      <c r="J41" s="15">
        <f t="shared" si="75"/>
        <v>0</v>
      </c>
      <c r="K41" s="14"/>
      <c r="L41" s="15">
        <f t="shared" si="76"/>
        <v>0</v>
      </c>
      <c r="M41" s="14"/>
      <c r="N41" s="15">
        <f t="shared" si="77"/>
        <v>0</v>
      </c>
      <c r="O41" s="16">
        <f t="shared" si="4"/>
        <v>20</v>
      </c>
      <c r="P41" s="16">
        <f t="shared" si="5"/>
        <v>40</v>
      </c>
      <c r="Q41" s="16">
        <f t="shared" si="69"/>
        <v>5</v>
      </c>
      <c r="R41" s="14"/>
      <c r="S41" s="15">
        <f t="shared" si="78"/>
        <v>0</v>
      </c>
      <c r="T41" s="14"/>
      <c r="U41" s="15">
        <f t="shared" si="79"/>
        <v>0</v>
      </c>
      <c r="V41" s="16">
        <f t="shared" si="80"/>
        <v>0</v>
      </c>
      <c r="W41" s="17">
        <f t="shared" si="81"/>
        <v>0</v>
      </c>
    </row>
    <row r="42" spans="1:23" ht="10.5" hidden="1" customHeight="1" x14ac:dyDescent="0.2">
      <c r="A42" s="11"/>
      <c r="B42" s="163">
        <f>COUNTA(Spieltag!K29:AA29)</f>
        <v>0</v>
      </c>
      <c r="C42" s="166">
        <f>Spieltag!A29</f>
        <v>32</v>
      </c>
      <c r="D42" s="21" t="str">
        <f>Spieltag!B29</f>
        <v>Gabriel Vidovic</v>
      </c>
      <c r="E42" s="12" t="str">
        <f>Spieltag!C29</f>
        <v>Sturm</v>
      </c>
      <c r="F42" s="13" t="s">
        <v>54</v>
      </c>
      <c r="G42" s="14"/>
      <c r="H42" s="15">
        <f t="shared" si="74"/>
        <v>0</v>
      </c>
      <c r="I42" s="14"/>
      <c r="J42" s="15">
        <f t="shared" si="75"/>
        <v>0</v>
      </c>
      <c r="K42" s="14"/>
      <c r="L42" s="15">
        <f t="shared" si="76"/>
        <v>0</v>
      </c>
      <c r="M42" s="14"/>
      <c r="N42" s="15">
        <f t="shared" si="77"/>
        <v>0</v>
      </c>
      <c r="O42" s="16">
        <f t="shared" si="4"/>
        <v>20</v>
      </c>
      <c r="P42" s="16">
        <f t="shared" si="5"/>
        <v>40</v>
      </c>
      <c r="Q42" s="16">
        <f t="shared" si="69"/>
        <v>5</v>
      </c>
      <c r="R42" s="14"/>
      <c r="S42" s="15">
        <f t="shared" si="78"/>
        <v>0</v>
      </c>
      <c r="T42" s="14"/>
      <c r="U42" s="15">
        <f t="shared" si="79"/>
        <v>0</v>
      </c>
      <c r="V42" s="16">
        <f t="shared" si="80"/>
        <v>0</v>
      </c>
      <c r="W42" s="17">
        <f t="shared" si="81"/>
        <v>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39</v>
      </c>
      <c r="D43" s="21" t="str">
        <f>Spieltag!B30</f>
        <v>Mathys Tel (A)</v>
      </c>
      <c r="E43" s="12" t="str">
        <f>Spieltag!C30</f>
        <v>Sturm</v>
      </c>
      <c r="F43" s="13" t="s">
        <v>54</v>
      </c>
      <c r="G43" s="14"/>
      <c r="H43" s="15">
        <f t="shared" si="74"/>
        <v>0</v>
      </c>
      <c r="I43" s="14"/>
      <c r="J43" s="15">
        <f t="shared" si="75"/>
        <v>0</v>
      </c>
      <c r="K43" s="14"/>
      <c r="L43" s="15">
        <f t="shared" si="76"/>
        <v>0</v>
      </c>
      <c r="M43" s="14"/>
      <c r="N43" s="15">
        <f t="shared" si="77"/>
        <v>0</v>
      </c>
      <c r="O43" s="16">
        <f t="shared" si="4"/>
        <v>20</v>
      </c>
      <c r="P43" s="16">
        <f t="shared" si="5"/>
        <v>40</v>
      </c>
      <c r="Q43" s="16">
        <f t="shared" si="69"/>
        <v>5</v>
      </c>
      <c r="R43" s="14"/>
      <c r="S43" s="15">
        <f t="shared" si="78"/>
        <v>0</v>
      </c>
      <c r="T43" s="14"/>
      <c r="U43" s="15">
        <f t="shared" si="79"/>
        <v>0</v>
      </c>
      <c r="V43" s="16">
        <f t="shared" si="80"/>
        <v>0</v>
      </c>
      <c r="W43" s="17">
        <f t="shared" si="81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46</v>
      </c>
      <c r="D44" s="21" t="str">
        <f>Spieltag!B31</f>
        <v>Arijon Ibrahimovic</v>
      </c>
      <c r="E44" s="12" t="str">
        <f>Spieltag!C31</f>
        <v>Sturm</v>
      </c>
      <c r="F44" s="13" t="s">
        <v>54</v>
      </c>
      <c r="G44" s="14"/>
      <c r="H44" s="15">
        <f t="shared" si="74"/>
        <v>0</v>
      </c>
      <c r="I44" s="14"/>
      <c r="J44" s="15">
        <f t="shared" si="75"/>
        <v>0</v>
      </c>
      <c r="K44" s="14"/>
      <c r="L44" s="15">
        <f t="shared" si="76"/>
        <v>0</v>
      </c>
      <c r="M44" s="14"/>
      <c r="N44" s="15">
        <f t="shared" si="77"/>
        <v>0</v>
      </c>
      <c r="O44" s="16">
        <f t="shared" si="4"/>
        <v>20</v>
      </c>
      <c r="P44" s="16">
        <f t="shared" si="5"/>
        <v>40</v>
      </c>
      <c r="Q44" s="16">
        <f t="shared" si="69"/>
        <v>5</v>
      </c>
      <c r="R44" s="14"/>
      <c r="S44" s="15">
        <f t="shared" si="78"/>
        <v>0</v>
      </c>
      <c r="T44" s="14"/>
      <c r="U44" s="15">
        <f t="shared" si="79"/>
        <v>0</v>
      </c>
      <c r="V44" s="16">
        <f t="shared" si="80"/>
        <v>0</v>
      </c>
      <c r="W44" s="17">
        <f t="shared" si="81"/>
        <v>0</v>
      </c>
    </row>
    <row r="45" spans="1:23" s="144" customFormat="1" ht="17.25" thickBot="1" x14ac:dyDescent="0.25">
      <c r="A45" s="142"/>
      <c r="B45" s="143">
        <f>SUM(B46:B76)</f>
        <v>18</v>
      </c>
      <c r="C45" s="158"/>
      <c r="D45" s="221" t="s">
        <v>32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2"/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1</v>
      </c>
      <c r="D46" s="21" t="str">
        <f>Spieltag!B33</f>
        <v>Gregor Kobel (A)</v>
      </c>
      <c r="E46" s="12" t="str">
        <f>Spieltag!C33</f>
        <v>Torwart</v>
      </c>
      <c r="F46" s="13" t="s">
        <v>57</v>
      </c>
      <c r="G46" s="14"/>
      <c r="H46" s="15">
        <f>IF(G46="x",10,0)</f>
        <v>0</v>
      </c>
      <c r="I46" s="14"/>
      <c r="J46" s="15">
        <f>IF((I46="x"),-10,0)</f>
        <v>0</v>
      </c>
      <c r="K46" s="14"/>
      <c r="L46" s="15">
        <f>IF((K46="x"),-20,0)</f>
        <v>0</v>
      </c>
      <c r="M46" s="14"/>
      <c r="N46" s="15">
        <f>IF((M46="x"),-30,0)</f>
        <v>0</v>
      </c>
      <c r="O46" s="16">
        <f>IF(AND($P$5&gt;$Q$5),20,IF($P$5=$Q$5,10,0))</f>
        <v>20</v>
      </c>
      <c r="P46" s="16">
        <f>IF(($P$5&lt;&gt;0),$P$5*10,-5)</f>
        <v>10</v>
      </c>
      <c r="Q46" s="16">
        <f>IF(($Q$5&lt;&gt;0),$Q$5*-10,20)</f>
        <v>20</v>
      </c>
      <c r="R46" s="14"/>
      <c r="S46" s="15">
        <f>R46*20</f>
        <v>0</v>
      </c>
      <c r="T46" s="14"/>
      <c r="U46" s="15">
        <f>T46*-15</f>
        <v>0</v>
      </c>
      <c r="V46" s="16">
        <f>IF(AND(R46=2),10,IF(R46=3,30,IF(R46=4,50,IF(R46=5,70,0))))</f>
        <v>0</v>
      </c>
      <c r="W46" s="17">
        <f>IF(G46="x",H46+J46+L46+N46+O46+P46+Q46+S46+U46+V46,0)</f>
        <v>0</v>
      </c>
    </row>
    <row r="47" spans="1:23" ht="10.5" hidden="1" customHeight="1" x14ac:dyDescent="0.2">
      <c r="A47" s="11"/>
      <c r="B47" s="149">
        <f>COUNTA(Spieltag!K34:AA34)</f>
        <v>0</v>
      </c>
      <c r="C47" s="166">
        <f>Spieltag!A34</f>
        <v>31</v>
      </c>
      <c r="D47" s="21" t="str">
        <f>Spieltag!B34</f>
        <v>Silas Ostrzinski</v>
      </c>
      <c r="E47" s="12" t="str">
        <f>Spieltag!C34</f>
        <v>Torwart</v>
      </c>
      <c r="F47" s="13" t="s">
        <v>57</v>
      </c>
      <c r="G47" s="14"/>
      <c r="H47" s="15">
        <f t="shared" ref="H47" si="82">IF(G47="x",10,0)</f>
        <v>0</v>
      </c>
      <c r="I47" s="14"/>
      <c r="J47" s="15">
        <f t="shared" ref="J47" si="83">IF((I47="x"),-10,0)</f>
        <v>0</v>
      </c>
      <c r="K47" s="14"/>
      <c r="L47" s="15">
        <f t="shared" ref="L47" si="84">IF((K47="x"),-20,0)</f>
        <v>0</v>
      </c>
      <c r="M47" s="14"/>
      <c r="N47" s="15">
        <f t="shared" ref="N47" si="85">IF((M47="x"),-30,0)</f>
        <v>0</v>
      </c>
      <c r="O47" s="16">
        <f t="shared" ref="O47:O49" si="86">IF(AND($P$5&gt;$Q$5),20,IF($P$5=$Q$5,10,0))</f>
        <v>20</v>
      </c>
      <c r="P47" s="16">
        <f t="shared" ref="P47:P49" si="87">IF(($P$5&lt;&gt;0),$P$5*10,-5)</f>
        <v>10</v>
      </c>
      <c r="Q47" s="16">
        <f t="shared" ref="Q47:Q49" si="88">IF(($Q$5&lt;&gt;0),$Q$5*-10,20)</f>
        <v>20</v>
      </c>
      <c r="R47" s="14"/>
      <c r="S47" s="15">
        <f t="shared" ref="S47" si="89">R47*20</f>
        <v>0</v>
      </c>
      <c r="T47" s="14"/>
      <c r="U47" s="15">
        <f t="shared" ref="U47" si="90">T47*-15</f>
        <v>0</v>
      </c>
      <c r="V47" s="16">
        <f t="shared" ref="V47" si="91">IF(AND(R47=2),10,IF(R47=3,30,IF(R47=4,50,IF(R47=5,70,0))))</f>
        <v>0</v>
      </c>
      <c r="W47" s="17">
        <f t="shared" ref="W47" si="92">IF(G47="x",H47+J47+L47+N47+O47+P47+Q47+S47+U47+V47,0)</f>
        <v>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33</v>
      </c>
      <c r="D48" s="21" t="str">
        <f>Spieltag!B35</f>
        <v>Alexander Meyer</v>
      </c>
      <c r="E48" s="12" t="str">
        <f>Spieltag!C35</f>
        <v>Torwart</v>
      </c>
      <c r="F48" s="13" t="s">
        <v>57</v>
      </c>
      <c r="G48" s="14"/>
      <c r="H48" s="15">
        <f t="shared" ref="H48" si="93">IF(G48="x",10,0)</f>
        <v>0</v>
      </c>
      <c r="I48" s="14"/>
      <c r="J48" s="15">
        <f t="shared" ref="J48" si="94">IF((I48="x"),-10,0)</f>
        <v>0</v>
      </c>
      <c r="K48" s="14"/>
      <c r="L48" s="15">
        <f t="shared" ref="L48" si="95">IF((K48="x"),-20,0)</f>
        <v>0</v>
      </c>
      <c r="M48" s="14"/>
      <c r="N48" s="15">
        <f t="shared" ref="N48" si="96">IF((M48="x"),-30,0)</f>
        <v>0</v>
      </c>
      <c r="O48" s="16">
        <f t="shared" si="86"/>
        <v>20</v>
      </c>
      <c r="P48" s="16">
        <f t="shared" si="87"/>
        <v>10</v>
      </c>
      <c r="Q48" s="16">
        <f t="shared" si="88"/>
        <v>20</v>
      </c>
      <c r="R48" s="14"/>
      <c r="S48" s="15">
        <f t="shared" ref="S48" si="97">R48*20</f>
        <v>0</v>
      </c>
      <c r="T48" s="14"/>
      <c r="U48" s="15">
        <f t="shared" ref="U48" si="98">T48*-15</f>
        <v>0</v>
      </c>
      <c r="V48" s="16">
        <f t="shared" ref="V48" si="99">IF(AND(R48=2),10,IF(R48=3,30,IF(R48=4,50,IF(R48=5,70,0))))</f>
        <v>0</v>
      </c>
      <c r="W48" s="17">
        <f t="shared" ref="W48" si="100">IF(G48="x",H48+J48+L48+N48+O48+P48+Q48+S48+U48+V48,0)</f>
        <v>0</v>
      </c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35</v>
      </c>
      <c r="D49" s="21" t="str">
        <f>Spieltag!B36</f>
        <v>Marcel Lotka</v>
      </c>
      <c r="E49" s="12" t="str">
        <f>Spieltag!C36</f>
        <v>Torwart</v>
      </c>
      <c r="F49" s="13" t="s">
        <v>57</v>
      </c>
      <c r="G49" s="14"/>
      <c r="H49" s="15">
        <f t="shared" ref="H49" si="101">IF(G49="x",10,0)</f>
        <v>0</v>
      </c>
      <c r="I49" s="14"/>
      <c r="J49" s="15">
        <f t="shared" ref="J49" si="102">IF((I49="x"),-10,0)</f>
        <v>0</v>
      </c>
      <c r="K49" s="14"/>
      <c r="L49" s="15">
        <f t="shared" ref="L49" si="103">IF((K49="x"),-20,0)</f>
        <v>0</v>
      </c>
      <c r="M49" s="14"/>
      <c r="N49" s="15">
        <f t="shared" ref="N49" si="104">IF((M49="x"),-30,0)</f>
        <v>0</v>
      </c>
      <c r="O49" s="16">
        <f t="shared" si="86"/>
        <v>20</v>
      </c>
      <c r="P49" s="16">
        <f t="shared" si="87"/>
        <v>10</v>
      </c>
      <c r="Q49" s="16">
        <f t="shared" si="88"/>
        <v>20</v>
      </c>
      <c r="R49" s="14"/>
      <c r="S49" s="15">
        <f t="shared" ref="S49" si="105">R49*20</f>
        <v>0</v>
      </c>
      <c r="T49" s="14"/>
      <c r="U49" s="15">
        <f t="shared" ref="U49" si="106">T49*-15</f>
        <v>0</v>
      </c>
      <c r="V49" s="16">
        <f t="shared" ref="V49" si="107">IF(AND(R49=2),10,IF(R49=3,30,IF(R49=4,50,IF(R49=5,70,0))))</f>
        <v>0</v>
      </c>
      <c r="W49" s="17">
        <f t="shared" ref="W49" si="108"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2</v>
      </c>
      <c r="D50" s="21" t="str">
        <f>Spieltag!B37</f>
        <v>Mateu Morey (A)</v>
      </c>
      <c r="E50" s="12" t="str">
        <f>Spieltag!C37</f>
        <v>Abwehr</v>
      </c>
      <c r="F50" s="13" t="s">
        <v>57</v>
      </c>
      <c r="G50" s="14"/>
      <c r="H50" s="15">
        <f t="shared" ref="H50" si="109">IF(G50="x",10,0)</f>
        <v>0</v>
      </c>
      <c r="I50" s="14"/>
      <c r="J50" s="15">
        <f t="shared" ref="J50" si="110">IF((I50="x"),-10,0)</f>
        <v>0</v>
      </c>
      <c r="K50" s="14"/>
      <c r="L50" s="15">
        <f t="shared" ref="L50" si="111">IF((K50="x"),-20,0)</f>
        <v>0</v>
      </c>
      <c r="M50" s="14"/>
      <c r="N50" s="15">
        <f t="shared" ref="N50" si="112">IF((M50="x"),-30,0)</f>
        <v>0</v>
      </c>
      <c r="O50" s="16">
        <f t="shared" ref="O50:O58" si="113">IF(AND($P$5&gt;$Q$5),20,IF($P$5=$Q$5,10,0))</f>
        <v>20</v>
      </c>
      <c r="P50" s="16">
        <f t="shared" ref="P50:P58" si="114">IF(($P$5&lt;&gt;0),$P$5*10,-5)</f>
        <v>10</v>
      </c>
      <c r="Q50" s="16">
        <f t="shared" ref="Q50:Q58" si="115">IF(($Q$5&lt;&gt;0),$Q$5*-10,15)</f>
        <v>15</v>
      </c>
      <c r="R50" s="14"/>
      <c r="S50" s="15">
        <f t="shared" ref="S50" si="116">R50*15</f>
        <v>0</v>
      </c>
      <c r="T50" s="14"/>
      <c r="U50" s="15">
        <f t="shared" ref="U50" si="117">T50*-15</f>
        <v>0</v>
      </c>
      <c r="V50" s="16">
        <f t="shared" ref="V50" si="118">IF(AND(R50=2),10,IF(R50=3,30,IF(R50=4,50,IF(R50=5,70,0))))</f>
        <v>0</v>
      </c>
      <c r="W50" s="17">
        <f t="shared" ref="W50" si="119">IF(G50="x",H50+J50+L50+N50+O50+P50+Q50+S50+U50+V50,0)</f>
        <v>0</v>
      </c>
    </row>
    <row r="51" spans="1:23" ht="10.5" customHeight="1" x14ac:dyDescent="0.2">
      <c r="A51" s="11"/>
      <c r="B51" s="149">
        <f>COUNTA(Spieltag!K38:AA38)</f>
        <v>1</v>
      </c>
      <c r="C51" s="166">
        <f>Spieltag!A38</f>
        <v>4</v>
      </c>
      <c r="D51" s="21" t="str">
        <f>Spieltag!B38</f>
        <v>Nico Schlotterbeck</v>
      </c>
      <c r="E51" s="12" t="str">
        <f>Spieltag!C38</f>
        <v>Abwehr</v>
      </c>
      <c r="F51" s="13" t="s">
        <v>57</v>
      </c>
      <c r="G51" s="14" t="s">
        <v>59</v>
      </c>
      <c r="H51" s="15">
        <f t="shared" ref="H51:H57" si="120">IF(G51="x",10,0)</f>
        <v>0</v>
      </c>
      <c r="I51" s="14"/>
      <c r="J51" s="15">
        <f t="shared" ref="J51:J57" si="121">IF((I51="x"),-10,0)</f>
        <v>0</v>
      </c>
      <c r="K51" s="14"/>
      <c r="L51" s="15">
        <f t="shared" ref="L51:L57" si="122">IF((K51="x"),-20,0)</f>
        <v>0</v>
      </c>
      <c r="M51" s="14"/>
      <c r="N51" s="15">
        <f t="shared" ref="N51:N57" si="123">IF((M51="x"),-30,0)</f>
        <v>0</v>
      </c>
      <c r="O51" s="16">
        <f t="shared" si="113"/>
        <v>20</v>
      </c>
      <c r="P51" s="16">
        <f t="shared" si="114"/>
        <v>10</v>
      </c>
      <c r="Q51" s="16">
        <f t="shared" si="115"/>
        <v>15</v>
      </c>
      <c r="R51" s="14"/>
      <c r="S51" s="15">
        <f t="shared" ref="S51:S57" si="124">R51*15</f>
        <v>0</v>
      </c>
      <c r="T51" s="14"/>
      <c r="U51" s="15">
        <f t="shared" ref="U51:U57" si="125">T51*-15</f>
        <v>0</v>
      </c>
      <c r="V51" s="16">
        <f t="shared" ref="V51:V57" si="126">IF(AND(R51=2),10,IF(R51=3,30,IF(R51=4,50,IF(R51=5,70,0))))</f>
        <v>0</v>
      </c>
      <c r="W51" s="17">
        <f t="shared" ref="W51:W57" si="127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5</v>
      </c>
      <c r="D52" s="21" t="str">
        <f>Spieltag!B39</f>
        <v>Ramy Bensebaini (A)</v>
      </c>
      <c r="E52" s="12" t="str">
        <f>Spieltag!C39</f>
        <v>Abwehr</v>
      </c>
      <c r="F52" s="13" t="s">
        <v>57</v>
      </c>
      <c r="G52" s="14"/>
      <c r="H52" s="15">
        <f t="shared" si="120"/>
        <v>0</v>
      </c>
      <c r="I52" s="14"/>
      <c r="J52" s="15">
        <f t="shared" si="121"/>
        <v>0</v>
      </c>
      <c r="K52" s="14"/>
      <c r="L52" s="15">
        <f t="shared" si="122"/>
        <v>0</v>
      </c>
      <c r="M52" s="14"/>
      <c r="N52" s="15">
        <f t="shared" si="123"/>
        <v>0</v>
      </c>
      <c r="O52" s="16">
        <f t="shared" si="113"/>
        <v>20</v>
      </c>
      <c r="P52" s="16">
        <f t="shared" si="114"/>
        <v>10</v>
      </c>
      <c r="Q52" s="16">
        <f t="shared" si="115"/>
        <v>15</v>
      </c>
      <c r="R52" s="14"/>
      <c r="S52" s="15">
        <f t="shared" si="124"/>
        <v>0</v>
      </c>
      <c r="T52" s="14"/>
      <c r="U52" s="15">
        <f t="shared" si="125"/>
        <v>0</v>
      </c>
      <c r="V52" s="16">
        <f t="shared" si="126"/>
        <v>0</v>
      </c>
      <c r="W52" s="17">
        <f t="shared" si="127"/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15</v>
      </c>
      <c r="D53" s="21" t="str">
        <f>Spieltag!B40</f>
        <v>Mats Hummels</v>
      </c>
      <c r="E53" s="12" t="str">
        <f>Spieltag!C40</f>
        <v>Abwehr</v>
      </c>
      <c r="F53" s="13" t="s">
        <v>57</v>
      </c>
      <c r="G53" s="14"/>
      <c r="H53" s="15">
        <f t="shared" si="120"/>
        <v>0</v>
      </c>
      <c r="I53" s="14"/>
      <c r="J53" s="15">
        <f t="shared" si="121"/>
        <v>0</v>
      </c>
      <c r="K53" s="14"/>
      <c r="L53" s="15">
        <f t="shared" si="122"/>
        <v>0</v>
      </c>
      <c r="M53" s="14"/>
      <c r="N53" s="15">
        <f t="shared" si="123"/>
        <v>0</v>
      </c>
      <c r="O53" s="16">
        <f t="shared" si="113"/>
        <v>20</v>
      </c>
      <c r="P53" s="16">
        <f t="shared" si="114"/>
        <v>10</v>
      </c>
      <c r="Q53" s="16">
        <f t="shared" si="115"/>
        <v>15</v>
      </c>
      <c r="R53" s="14"/>
      <c r="S53" s="15">
        <f t="shared" si="124"/>
        <v>0</v>
      </c>
      <c r="T53" s="14"/>
      <c r="U53" s="15">
        <f t="shared" si="125"/>
        <v>0</v>
      </c>
      <c r="V53" s="16">
        <f t="shared" si="126"/>
        <v>0</v>
      </c>
      <c r="W53" s="17">
        <f t="shared" si="127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24</v>
      </c>
      <c r="D54" s="21" t="str">
        <f>Spieltag!B41</f>
        <v>Thomas Meunier (A)</v>
      </c>
      <c r="E54" s="12" t="str">
        <f>Spieltag!C41</f>
        <v>Abwehr</v>
      </c>
      <c r="F54" s="13" t="s">
        <v>57</v>
      </c>
      <c r="G54" s="14"/>
      <c r="H54" s="15">
        <f t="shared" si="120"/>
        <v>0</v>
      </c>
      <c r="I54" s="14"/>
      <c r="J54" s="15">
        <f t="shared" si="121"/>
        <v>0</v>
      </c>
      <c r="K54" s="14"/>
      <c r="L54" s="15">
        <f t="shared" si="122"/>
        <v>0</v>
      </c>
      <c r="M54" s="14"/>
      <c r="N54" s="15">
        <f t="shared" si="123"/>
        <v>0</v>
      </c>
      <c r="O54" s="16">
        <f t="shared" si="113"/>
        <v>20</v>
      </c>
      <c r="P54" s="16">
        <f t="shared" si="114"/>
        <v>10</v>
      </c>
      <c r="Q54" s="16">
        <f t="shared" si="115"/>
        <v>15</v>
      </c>
      <c r="R54" s="14"/>
      <c r="S54" s="15">
        <f t="shared" si="124"/>
        <v>0</v>
      </c>
      <c r="T54" s="14"/>
      <c r="U54" s="15">
        <f t="shared" si="125"/>
        <v>0</v>
      </c>
      <c r="V54" s="16">
        <f t="shared" si="126"/>
        <v>0</v>
      </c>
      <c r="W54" s="17">
        <f t="shared" si="127"/>
        <v>0</v>
      </c>
    </row>
    <row r="55" spans="1:23" ht="10.5" customHeight="1" x14ac:dyDescent="0.2">
      <c r="A55" s="11"/>
      <c r="B55" s="149">
        <f>COUNTA(Spieltag!K42:AA42)</f>
        <v>4</v>
      </c>
      <c r="C55" s="166">
        <f>Spieltag!A42</f>
        <v>25</v>
      </c>
      <c r="D55" s="21" t="str">
        <f>Spieltag!B42</f>
        <v>Niklas Süle</v>
      </c>
      <c r="E55" s="12" t="str">
        <f>Spieltag!C42</f>
        <v>Abwehr</v>
      </c>
      <c r="F55" s="13" t="s">
        <v>57</v>
      </c>
      <c r="G55" s="14" t="s">
        <v>676</v>
      </c>
      <c r="H55" s="15">
        <f t="shared" si="120"/>
        <v>10</v>
      </c>
      <c r="I55" s="14"/>
      <c r="J55" s="15">
        <f t="shared" si="121"/>
        <v>0</v>
      </c>
      <c r="K55" s="14"/>
      <c r="L55" s="15">
        <f t="shared" si="122"/>
        <v>0</v>
      </c>
      <c r="M55" s="14"/>
      <c r="N55" s="15">
        <f t="shared" si="123"/>
        <v>0</v>
      </c>
      <c r="O55" s="16">
        <f t="shared" si="113"/>
        <v>20</v>
      </c>
      <c r="P55" s="16">
        <f t="shared" si="114"/>
        <v>10</v>
      </c>
      <c r="Q55" s="16">
        <f t="shared" si="115"/>
        <v>15</v>
      </c>
      <c r="R55" s="14"/>
      <c r="S55" s="15">
        <f t="shared" si="124"/>
        <v>0</v>
      </c>
      <c r="T55" s="14"/>
      <c r="U55" s="15">
        <f t="shared" si="125"/>
        <v>0</v>
      </c>
      <c r="V55" s="16">
        <f t="shared" si="126"/>
        <v>0</v>
      </c>
      <c r="W55" s="17">
        <f t="shared" si="127"/>
        <v>55</v>
      </c>
    </row>
    <row r="56" spans="1:23" ht="10.5" hidden="1" customHeight="1" x14ac:dyDescent="0.2">
      <c r="A56" s="11"/>
      <c r="B56" s="149">
        <f>COUNTA(Spieltag!K43:AA43)</f>
        <v>0</v>
      </c>
      <c r="C56" s="166">
        <f>Spieltag!A43</f>
        <v>26</v>
      </c>
      <c r="D56" s="21" t="str">
        <f>Spieltag!B43</f>
        <v>Julian Ryerson (A)</v>
      </c>
      <c r="E56" s="12" t="str">
        <f>Spieltag!C43</f>
        <v>Abwehr</v>
      </c>
      <c r="F56" s="13" t="s">
        <v>57</v>
      </c>
      <c r="G56" s="14"/>
      <c r="H56" s="15">
        <f t="shared" si="120"/>
        <v>0</v>
      </c>
      <c r="I56" s="14"/>
      <c r="J56" s="15">
        <f t="shared" si="121"/>
        <v>0</v>
      </c>
      <c r="K56" s="14"/>
      <c r="L56" s="15">
        <f t="shared" si="122"/>
        <v>0</v>
      </c>
      <c r="M56" s="14"/>
      <c r="N56" s="15">
        <f t="shared" si="123"/>
        <v>0</v>
      </c>
      <c r="O56" s="16">
        <f t="shared" si="113"/>
        <v>20</v>
      </c>
      <c r="P56" s="16">
        <f t="shared" si="114"/>
        <v>10</v>
      </c>
      <c r="Q56" s="16">
        <f t="shared" si="115"/>
        <v>15</v>
      </c>
      <c r="R56" s="14"/>
      <c r="S56" s="15">
        <f t="shared" si="124"/>
        <v>0</v>
      </c>
      <c r="T56" s="14"/>
      <c r="U56" s="15">
        <f t="shared" si="125"/>
        <v>0</v>
      </c>
      <c r="V56" s="16">
        <f t="shared" si="126"/>
        <v>0</v>
      </c>
      <c r="W56" s="17">
        <f t="shared" si="127"/>
        <v>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44</v>
      </c>
      <c r="D57" s="21" t="str">
        <f>Spieltag!B44</f>
        <v>Soumalia Coulibaly (A)</v>
      </c>
      <c r="E57" s="12" t="str">
        <f>Spieltag!C44</f>
        <v>Abwehr</v>
      </c>
      <c r="F57" s="13" t="s">
        <v>57</v>
      </c>
      <c r="G57" s="14"/>
      <c r="H57" s="15">
        <f t="shared" si="120"/>
        <v>0</v>
      </c>
      <c r="I57" s="14"/>
      <c r="J57" s="15">
        <f t="shared" si="121"/>
        <v>0</v>
      </c>
      <c r="K57" s="14"/>
      <c r="L57" s="15">
        <f t="shared" si="122"/>
        <v>0</v>
      </c>
      <c r="M57" s="14"/>
      <c r="N57" s="15">
        <f t="shared" si="123"/>
        <v>0</v>
      </c>
      <c r="O57" s="16">
        <f t="shared" si="113"/>
        <v>20</v>
      </c>
      <c r="P57" s="16">
        <f t="shared" si="114"/>
        <v>10</v>
      </c>
      <c r="Q57" s="16">
        <f t="shared" si="115"/>
        <v>15</v>
      </c>
      <c r="R57" s="14"/>
      <c r="S57" s="15">
        <f t="shared" si="124"/>
        <v>0</v>
      </c>
      <c r="T57" s="14"/>
      <c r="U57" s="15">
        <f t="shared" si="125"/>
        <v>0</v>
      </c>
      <c r="V57" s="16">
        <f t="shared" si="126"/>
        <v>0</v>
      </c>
      <c r="W57" s="17">
        <f t="shared" si="127"/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47</v>
      </c>
      <c r="D58" s="21" t="str">
        <f>Spieltag!B45</f>
        <v>Antonis Papadopoulos</v>
      </c>
      <c r="E58" s="12" t="str">
        <f>Spieltag!C45</f>
        <v>Abwehr</v>
      </c>
      <c r="F58" s="13" t="s">
        <v>57</v>
      </c>
      <c r="G58" s="14"/>
      <c r="H58" s="15">
        <f t="shared" ref="H58" si="128">IF(G58="x",10,0)</f>
        <v>0</v>
      </c>
      <c r="I58" s="14"/>
      <c r="J58" s="15">
        <f t="shared" ref="J58" si="129">IF((I58="x"),-10,0)</f>
        <v>0</v>
      </c>
      <c r="K58" s="14"/>
      <c r="L58" s="15">
        <f t="shared" ref="L58" si="130">IF((K58="x"),-20,0)</f>
        <v>0</v>
      </c>
      <c r="M58" s="14"/>
      <c r="N58" s="15">
        <f t="shared" ref="N58" si="131">IF((M58="x"),-30,0)</f>
        <v>0</v>
      </c>
      <c r="O58" s="16">
        <f t="shared" si="113"/>
        <v>20</v>
      </c>
      <c r="P58" s="16">
        <f t="shared" si="114"/>
        <v>10</v>
      </c>
      <c r="Q58" s="16">
        <f t="shared" si="115"/>
        <v>15</v>
      </c>
      <c r="R58" s="14"/>
      <c r="S58" s="15">
        <f t="shared" ref="S58" si="132">R58*15</f>
        <v>0</v>
      </c>
      <c r="T58" s="14"/>
      <c r="U58" s="15">
        <f t="shared" ref="U58" si="133">T58*-15</f>
        <v>0</v>
      </c>
      <c r="V58" s="16">
        <f t="shared" ref="V58" si="134">IF(AND(R58=2),10,IF(R58=3,30,IF(R58=4,50,IF(R58=5,70,0))))</f>
        <v>0</v>
      </c>
      <c r="W58" s="17">
        <f t="shared" ref="W58" si="135">IF(G58="x",H58+J58+L58+N58+O58+P58+Q58+S58+U58+V58,0)</f>
        <v>0</v>
      </c>
    </row>
    <row r="59" spans="1:23" ht="10.5" hidden="1" customHeight="1" x14ac:dyDescent="0.2">
      <c r="A59" s="11" t="s">
        <v>81</v>
      </c>
      <c r="B59" s="149">
        <f>COUNTA(Spieltag!K46:AA46)</f>
        <v>0</v>
      </c>
      <c r="C59" s="166">
        <f>Spieltag!A46</f>
        <v>6</v>
      </c>
      <c r="D59" s="21" t="str">
        <f>Spieltag!B46</f>
        <v>Salih Özcan</v>
      </c>
      <c r="E59" s="12" t="str">
        <f>Spieltag!C46</f>
        <v>Mittelfeld</v>
      </c>
      <c r="F59" s="13" t="s">
        <v>57</v>
      </c>
      <c r="G59" s="14"/>
      <c r="H59" s="15">
        <f t="shared" ref="H59:H70" si="136">IF(G59="x",10,0)</f>
        <v>0</v>
      </c>
      <c r="I59" s="14"/>
      <c r="J59" s="15">
        <f t="shared" ref="J59:J70" si="137">IF((I59="x"),-10,0)</f>
        <v>0</v>
      </c>
      <c r="K59" s="14"/>
      <c r="L59" s="15">
        <f t="shared" ref="L59:L70" si="138">IF((K59="x"),-20,0)</f>
        <v>0</v>
      </c>
      <c r="M59" s="14"/>
      <c r="N59" s="15">
        <f t="shared" ref="N59:N70" si="139">IF((M59="x"),-30,0)</f>
        <v>0</v>
      </c>
      <c r="O59" s="16">
        <f t="shared" ref="O59:O76" si="140">IF(AND($P$5&gt;$Q$5),20,IF($P$5=$Q$5,10,0))</f>
        <v>20</v>
      </c>
      <c r="P59" s="16">
        <f t="shared" ref="P59:P76" si="141">IF(($P$5&lt;&gt;0),$P$5*10,-5)</f>
        <v>10</v>
      </c>
      <c r="Q59" s="16">
        <f t="shared" ref="Q59:Q70" si="142">IF(($Q$5&lt;&gt;0),$Q$5*-10,10)</f>
        <v>10</v>
      </c>
      <c r="R59" s="14"/>
      <c r="S59" s="15">
        <f t="shared" ref="S59:S70" si="143">R59*10</f>
        <v>0</v>
      </c>
      <c r="T59" s="14"/>
      <c r="U59" s="15">
        <f t="shared" ref="U59:U70" si="144">T59*-15</f>
        <v>0</v>
      </c>
      <c r="V59" s="16">
        <f t="shared" ref="V59:V70" si="145">IF(AND(R59=2),10,IF(R59=3,30,IF(R59=4,50,IF(R59=5,70,0))))</f>
        <v>0</v>
      </c>
      <c r="W59" s="17">
        <f t="shared" ref="W59:W70" si="146">IF(G59="x",H59+J59+L59+N59+O59+P59+Q59+S59+U59+V59,0)</f>
        <v>0</v>
      </c>
    </row>
    <row r="60" spans="1:23" ht="10.5" hidden="1" customHeight="1" x14ac:dyDescent="0.2">
      <c r="A60" s="11" t="s">
        <v>81</v>
      </c>
      <c r="B60" s="149">
        <f>COUNTA(Spieltag!K47:AA47)</f>
        <v>0</v>
      </c>
      <c r="C60" s="166">
        <f>Spieltag!A47</f>
        <v>7</v>
      </c>
      <c r="D60" s="21" t="str">
        <f>Spieltag!B47</f>
        <v>Giovanni Reyna (A)</v>
      </c>
      <c r="E60" s="12" t="str">
        <f>Spieltag!C47</f>
        <v>Mittelfeld</v>
      </c>
      <c r="F60" s="13" t="s">
        <v>57</v>
      </c>
      <c r="G60" s="14"/>
      <c r="H60" s="15">
        <f t="shared" si="136"/>
        <v>0</v>
      </c>
      <c r="I60" s="14"/>
      <c r="J60" s="15">
        <f t="shared" si="137"/>
        <v>0</v>
      </c>
      <c r="K60" s="14"/>
      <c r="L60" s="15">
        <f t="shared" si="138"/>
        <v>0</v>
      </c>
      <c r="M60" s="14"/>
      <c r="N60" s="15">
        <f t="shared" si="139"/>
        <v>0</v>
      </c>
      <c r="O60" s="16">
        <f t="shared" si="140"/>
        <v>20</v>
      </c>
      <c r="P60" s="16">
        <f t="shared" si="141"/>
        <v>10</v>
      </c>
      <c r="Q60" s="16">
        <f t="shared" si="142"/>
        <v>10</v>
      </c>
      <c r="R60" s="14"/>
      <c r="S60" s="15">
        <f t="shared" si="143"/>
        <v>0</v>
      </c>
      <c r="T60" s="14"/>
      <c r="U60" s="15">
        <f t="shared" si="144"/>
        <v>0</v>
      </c>
      <c r="V60" s="16">
        <f t="shared" si="145"/>
        <v>0</v>
      </c>
      <c r="W60" s="17">
        <f t="shared" si="146"/>
        <v>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8</v>
      </c>
      <c r="D61" s="21" t="str">
        <f>Spieltag!B48</f>
        <v>Felix Nmecha</v>
      </c>
      <c r="E61" s="12" t="str">
        <f>Spieltag!C48</f>
        <v>Mittelfeld</v>
      </c>
      <c r="F61" s="13" t="s">
        <v>57</v>
      </c>
      <c r="G61" s="14"/>
      <c r="H61" s="15">
        <f t="shared" si="136"/>
        <v>0</v>
      </c>
      <c r="I61" s="14"/>
      <c r="J61" s="15">
        <f t="shared" si="137"/>
        <v>0</v>
      </c>
      <c r="K61" s="14"/>
      <c r="L61" s="15">
        <f t="shared" si="138"/>
        <v>0</v>
      </c>
      <c r="M61" s="14"/>
      <c r="N61" s="15">
        <f t="shared" si="139"/>
        <v>0</v>
      </c>
      <c r="O61" s="16">
        <f t="shared" si="140"/>
        <v>20</v>
      </c>
      <c r="P61" s="16">
        <f t="shared" si="141"/>
        <v>10</v>
      </c>
      <c r="Q61" s="16">
        <f t="shared" si="142"/>
        <v>10</v>
      </c>
      <c r="R61" s="14"/>
      <c r="S61" s="15">
        <f t="shared" si="143"/>
        <v>0</v>
      </c>
      <c r="T61" s="14"/>
      <c r="U61" s="15">
        <f t="shared" si="144"/>
        <v>0</v>
      </c>
      <c r="V61" s="16">
        <f t="shared" si="145"/>
        <v>0</v>
      </c>
      <c r="W61" s="17">
        <f t="shared" si="146"/>
        <v>0</v>
      </c>
    </row>
    <row r="62" spans="1:23" ht="10.5" hidden="1" customHeight="1" x14ac:dyDescent="0.2">
      <c r="A62" s="11" t="s">
        <v>81</v>
      </c>
      <c r="B62" s="149">
        <f>COUNTA(Spieltag!K49:AA49)</f>
        <v>0</v>
      </c>
      <c r="C62" s="166">
        <f>Spieltag!A49</f>
        <v>10</v>
      </c>
      <c r="D62" s="21" t="str">
        <f>Spieltag!B49</f>
        <v>Thorgan Hazard (A)</v>
      </c>
      <c r="E62" s="12" t="str">
        <f>Spieltag!C49</f>
        <v>Mittelfeld</v>
      </c>
      <c r="F62" s="13" t="s">
        <v>57</v>
      </c>
      <c r="G62" s="14"/>
      <c r="H62" s="15">
        <f t="shared" si="136"/>
        <v>0</v>
      </c>
      <c r="I62" s="14"/>
      <c r="J62" s="15">
        <f t="shared" si="137"/>
        <v>0</v>
      </c>
      <c r="K62" s="14"/>
      <c r="L62" s="15">
        <f t="shared" si="138"/>
        <v>0</v>
      </c>
      <c r="M62" s="14"/>
      <c r="N62" s="15">
        <f t="shared" si="139"/>
        <v>0</v>
      </c>
      <c r="O62" s="16">
        <f t="shared" si="140"/>
        <v>20</v>
      </c>
      <c r="P62" s="16">
        <f t="shared" si="141"/>
        <v>10</v>
      </c>
      <c r="Q62" s="16">
        <f t="shared" si="142"/>
        <v>10</v>
      </c>
      <c r="R62" s="14"/>
      <c r="S62" s="15">
        <f t="shared" si="143"/>
        <v>0</v>
      </c>
      <c r="T62" s="14"/>
      <c r="U62" s="15">
        <f t="shared" si="144"/>
        <v>0</v>
      </c>
      <c r="V62" s="16">
        <f t="shared" si="145"/>
        <v>0</v>
      </c>
      <c r="W62" s="17">
        <f t="shared" si="146"/>
        <v>0</v>
      </c>
    </row>
    <row r="63" spans="1:23" ht="10.5" customHeight="1" x14ac:dyDescent="0.2">
      <c r="A63" s="11" t="s">
        <v>81</v>
      </c>
      <c r="B63" s="149">
        <f>COUNTA(Spieltag!K50:AA50)</f>
        <v>5</v>
      </c>
      <c r="C63" s="166">
        <f>Spieltag!A50</f>
        <v>11</v>
      </c>
      <c r="D63" s="21" t="str">
        <f>Spieltag!B50</f>
        <v>Marco Reus</v>
      </c>
      <c r="E63" s="12" t="str">
        <f>Spieltag!C50</f>
        <v>Mittelfeld</v>
      </c>
      <c r="F63" s="13" t="s">
        <v>57</v>
      </c>
      <c r="G63" s="14" t="s">
        <v>676</v>
      </c>
      <c r="H63" s="15">
        <f t="shared" si="136"/>
        <v>10</v>
      </c>
      <c r="I63" s="14"/>
      <c r="J63" s="15">
        <f t="shared" si="137"/>
        <v>0</v>
      </c>
      <c r="K63" s="14"/>
      <c r="L63" s="15">
        <f t="shared" si="138"/>
        <v>0</v>
      </c>
      <c r="M63" s="14"/>
      <c r="N63" s="15">
        <f t="shared" si="139"/>
        <v>0</v>
      </c>
      <c r="O63" s="16">
        <f t="shared" si="140"/>
        <v>20</v>
      </c>
      <c r="P63" s="16">
        <f t="shared" si="141"/>
        <v>10</v>
      </c>
      <c r="Q63" s="16">
        <f t="shared" si="142"/>
        <v>10</v>
      </c>
      <c r="R63" s="14"/>
      <c r="S63" s="15">
        <f t="shared" si="143"/>
        <v>0</v>
      </c>
      <c r="T63" s="14"/>
      <c r="U63" s="15">
        <f t="shared" si="144"/>
        <v>0</v>
      </c>
      <c r="V63" s="16">
        <f t="shared" si="145"/>
        <v>0</v>
      </c>
      <c r="W63" s="17">
        <f t="shared" si="146"/>
        <v>50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17</v>
      </c>
      <c r="D64" s="21" t="str">
        <f>Spieltag!B51</f>
        <v>Marius Wolf</v>
      </c>
      <c r="E64" s="12" t="str">
        <f>Spieltag!C51</f>
        <v>Mittelfeld</v>
      </c>
      <c r="F64" s="13" t="s">
        <v>57</v>
      </c>
      <c r="G64" s="14"/>
      <c r="H64" s="15">
        <f t="shared" si="136"/>
        <v>0</v>
      </c>
      <c r="I64" s="14"/>
      <c r="J64" s="15">
        <f t="shared" si="137"/>
        <v>0</v>
      </c>
      <c r="K64" s="14"/>
      <c r="L64" s="15">
        <f t="shared" si="138"/>
        <v>0</v>
      </c>
      <c r="M64" s="14"/>
      <c r="N64" s="15">
        <f t="shared" si="139"/>
        <v>0</v>
      </c>
      <c r="O64" s="16">
        <f t="shared" si="140"/>
        <v>20</v>
      </c>
      <c r="P64" s="16">
        <f t="shared" si="141"/>
        <v>10</v>
      </c>
      <c r="Q64" s="16">
        <f t="shared" si="142"/>
        <v>10</v>
      </c>
      <c r="R64" s="14"/>
      <c r="S64" s="15">
        <f t="shared" si="143"/>
        <v>0</v>
      </c>
      <c r="T64" s="14"/>
      <c r="U64" s="15">
        <f t="shared" si="144"/>
        <v>0</v>
      </c>
      <c r="V64" s="16">
        <f t="shared" si="145"/>
        <v>0</v>
      </c>
      <c r="W64" s="17">
        <f t="shared" si="146"/>
        <v>0</v>
      </c>
    </row>
    <row r="65" spans="1:23" ht="10.5" customHeight="1" x14ac:dyDescent="0.2">
      <c r="A65" s="11" t="s">
        <v>81</v>
      </c>
      <c r="B65" s="149">
        <f>COUNTA(Spieltag!K52:AA52)</f>
        <v>4</v>
      </c>
      <c r="C65" s="166">
        <f>Spieltag!A52</f>
        <v>19</v>
      </c>
      <c r="D65" s="21" t="str">
        <f>Spieltag!B52</f>
        <v>Julian Brandt</v>
      </c>
      <c r="E65" s="12" t="str">
        <f>Spieltag!C52</f>
        <v>Mittelfeld</v>
      </c>
      <c r="F65" s="13" t="s">
        <v>57</v>
      </c>
      <c r="G65" s="14" t="s">
        <v>676</v>
      </c>
      <c r="H65" s="15">
        <f t="shared" si="136"/>
        <v>10</v>
      </c>
      <c r="I65" s="14"/>
      <c r="J65" s="15">
        <f t="shared" si="137"/>
        <v>0</v>
      </c>
      <c r="K65" s="14"/>
      <c r="L65" s="15">
        <f t="shared" si="138"/>
        <v>0</v>
      </c>
      <c r="M65" s="14"/>
      <c r="N65" s="15">
        <f t="shared" si="139"/>
        <v>0</v>
      </c>
      <c r="O65" s="16">
        <f t="shared" si="140"/>
        <v>20</v>
      </c>
      <c r="P65" s="16">
        <f t="shared" si="141"/>
        <v>10</v>
      </c>
      <c r="Q65" s="16">
        <f t="shared" si="142"/>
        <v>10</v>
      </c>
      <c r="R65" s="14"/>
      <c r="S65" s="15">
        <f t="shared" si="143"/>
        <v>0</v>
      </c>
      <c r="T65" s="14"/>
      <c r="U65" s="15">
        <f t="shared" si="144"/>
        <v>0</v>
      </c>
      <c r="V65" s="16">
        <f t="shared" si="145"/>
        <v>0</v>
      </c>
      <c r="W65" s="17">
        <f t="shared" si="146"/>
        <v>50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20</v>
      </c>
      <c r="D66" s="21" t="str">
        <f>Spieltag!B53</f>
        <v>Marcel Sabitzer (A)</v>
      </c>
      <c r="E66" s="12" t="str">
        <f>Spieltag!C53</f>
        <v>Mittelfeld</v>
      </c>
      <c r="F66" s="13" t="s">
        <v>57</v>
      </c>
      <c r="G66" s="14"/>
      <c r="H66" s="15">
        <f t="shared" si="136"/>
        <v>0</v>
      </c>
      <c r="I66" s="14"/>
      <c r="J66" s="15">
        <f t="shared" si="137"/>
        <v>0</v>
      </c>
      <c r="K66" s="14"/>
      <c r="L66" s="15">
        <f t="shared" si="138"/>
        <v>0</v>
      </c>
      <c r="M66" s="14"/>
      <c r="N66" s="15">
        <f t="shared" si="139"/>
        <v>0</v>
      </c>
      <c r="O66" s="16">
        <f t="shared" si="140"/>
        <v>20</v>
      </c>
      <c r="P66" s="16">
        <f t="shared" si="141"/>
        <v>10</v>
      </c>
      <c r="Q66" s="16">
        <f t="shared" si="142"/>
        <v>10</v>
      </c>
      <c r="R66" s="14"/>
      <c r="S66" s="15">
        <f t="shared" si="143"/>
        <v>0</v>
      </c>
      <c r="T66" s="14"/>
      <c r="U66" s="15">
        <f t="shared" si="144"/>
        <v>0</v>
      </c>
      <c r="V66" s="16">
        <f t="shared" si="145"/>
        <v>0</v>
      </c>
      <c r="W66" s="17">
        <f t="shared" si="146"/>
        <v>0</v>
      </c>
    </row>
    <row r="67" spans="1:23" ht="10.5" customHeight="1" x14ac:dyDescent="0.2">
      <c r="A67" s="11" t="s">
        <v>81</v>
      </c>
      <c r="B67" s="149">
        <f>COUNTA(Spieltag!K54:AA54)</f>
        <v>1</v>
      </c>
      <c r="C67" s="166">
        <f>Spieltag!A54</f>
        <v>23</v>
      </c>
      <c r="D67" s="21" t="str">
        <f>Spieltag!B54</f>
        <v>Emre Can</v>
      </c>
      <c r="E67" s="12" t="str">
        <f>Spieltag!C54</f>
        <v>Mittelfeld</v>
      </c>
      <c r="F67" s="13" t="s">
        <v>57</v>
      </c>
      <c r="G67" s="14" t="s">
        <v>676</v>
      </c>
      <c r="H67" s="15">
        <f t="shared" si="136"/>
        <v>10</v>
      </c>
      <c r="I67" s="14"/>
      <c r="J67" s="15">
        <f t="shared" si="137"/>
        <v>0</v>
      </c>
      <c r="K67" s="14"/>
      <c r="L67" s="15">
        <f t="shared" si="138"/>
        <v>0</v>
      </c>
      <c r="M67" s="14"/>
      <c r="N67" s="15">
        <f t="shared" si="139"/>
        <v>0</v>
      </c>
      <c r="O67" s="16">
        <f t="shared" si="140"/>
        <v>20</v>
      </c>
      <c r="P67" s="16">
        <f t="shared" si="141"/>
        <v>10</v>
      </c>
      <c r="Q67" s="16">
        <f t="shared" si="142"/>
        <v>10</v>
      </c>
      <c r="R67" s="14"/>
      <c r="S67" s="15">
        <f t="shared" si="143"/>
        <v>0</v>
      </c>
      <c r="T67" s="14"/>
      <c r="U67" s="15">
        <f t="shared" si="144"/>
        <v>0</v>
      </c>
      <c r="V67" s="16">
        <f t="shared" si="145"/>
        <v>0</v>
      </c>
      <c r="W67" s="17">
        <f t="shared" si="146"/>
        <v>50</v>
      </c>
    </row>
    <row r="68" spans="1:23" ht="10.5" hidden="1" customHeight="1" x14ac:dyDescent="0.2">
      <c r="A68" s="11" t="s">
        <v>81</v>
      </c>
      <c r="B68" s="149">
        <f>COUNTA(Spieltag!K55:AA55)</f>
        <v>0</v>
      </c>
      <c r="C68" s="166">
        <f>Spieltag!A55</f>
        <v>30</v>
      </c>
      <c r="D68" s="21" t="str">
        <f>Spieltag!B55</f>
        <v>Ole Pohlmann</v>
      </c>
      <c r="E68" s="12" t="str">
        <f>Spieltag!C55</f>
        <v>Mittelfeld</v>
      </c>
      <c r="F68" s="13" t="s">
        <v>57</v>
      </c>
      <c r="G68" s="14"/>
      <c r="H68" s="15">
        <f t="shared" si="136"/>
        <v>0</v>
      </c>
      <c r="I68" s="14"/>
      <c r="J68" s="15">
        <f t="shared" si="137"/>
        <v>0</v>
      </c>
      <c r="K68" s="14"/>
      <c r="L68" s="15">
        <f t="shared" si="138"/>
        <v>0</v>
      </c>
      <c r="M68" s="14"/>
      <c r="N68" s="15">
        <f t="shared" si="139"/>
        <v>0</v>
      </c>
      <c r="O68" s="16">
        <f t="shared" si="140"/>
        <v>20</v>
      </c>
      <c r="P68" s="16">
        <f t="shared" si="141"/>
        <v>10</v>
      </c>
      <c r="Q68" s="16">
        <f t="shared" si="142"/>
        <v>10</v>
      </c>
      <c r="R68" s="14"/>
      <c r="S68" s="15">
        <f t="shared" si="143"/>
        <v>0</v>
      </c>
      <c r="T68" s="14"/>
      <c r="U68" s="15">
        <f t="shared" si="144"/>
        <v>0</v>
      </c>
      <c r="V68" s="16">
        <f t="shared" si="145"/>
        <v>0</v>
      </c>
      <c r="W68" s="17">
        <f t="shared" si="146"/>
        <v>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32</v>
      </c>
      <c r="D69" s="21" t="str">
        <f>Spieltag!B56</f>
        <v>Abdoulaye Kamara (A)</v>
      </c>
      <c r="E69" s="12" t="str">
        <f>Spieltag!C56</f>
        <v>Mittelfeld</v>
      </c>
      <c r="F69" s="13" t="s">
        <v>57</v>
      </c>
      <c r="G69" s="14"/>
      <c r="H69" s="15">
        <f t="shared" ref="H69" si="147">IF(G69="x",10,0)</f>
        <v>0</v>
      </c>
      <c r="I69" s="14"/>
      <c r="J69" s="15">
        <f t="shared" ref="J69" si="148">IF((I69="x"),-10,0)</f>
        <v>0</v>
      </c>
      <c r="K69" s="14"/>
      <c r="L69" s="15">
        <f t="shared" ref="L69" si="149">IF((K69="x"),-20,0)</f>
        <v>0</v>
      </c>
      <c r="M69" s="14"/>
      <c r="N69" s="15">
        <f t="shared" ref="N69" si="150">IF((M69="x"),-30,0)</f>
        <v>0</v>
      </c>
      <c r="O69" s="16">
        <f t="shared" si="140"/>
        <v>20</v>
      </c>
      <c r="P69" s="16">
        <f t="shared" si="141"/>
        <v>10</v>
      </c>
      <c r="Q69" s="16">
        <f t="shared" si="142"/>
        <v>10</v>
      </c>
      <c r="R69" s="14"/>
      <c r="S69" s="15">
        <f t="shared" ref="S69" si="151">R69*10</f>
        <v>0</v>
      </c>
      <c r="T69" s="14"/>
      <c r="U69" s="15">
        <f t="shared" ref="U69" si="152">T69*-15</f>
        <v>0</v>
      </c>
      <c r="V69" s="16">
        <f t="shared" ref="V69" si="153">IF(AND(R69=2),10,IF(R69=3,30,IF(R69=4,50,IF(R69=5,70,0))))</f>
        <v>0</v>
      </c>
      <c r="W69" s="17">
        <f t="shared" ref="W69" si="154">IF(G69="x",H69+J69+L69+N69+O69+P69+Q69+S69+U69+V69,0)</f>
        <v>0</v>
      </c>
    </row>
    <row r="70" spans="1:23" ht="10.5" hidden="1" customHeight="1" x14ac:dyDescent="0.2">
      <c r="A70" s="11" t="s">
        <v>81</v>
      </c>
      <c r="B70" s="149">
        <f>COUNTA(Spieltag!K57:AA57)</f>
        <v>0</v>
      </c>
      <c r="C70" s="166">
        <f>Spieltag!A57</f>
        <v>48</v>
      </c>
      <c r="D70" s="21" t="str">
        <f>Spieltag!B57</f>
        <v>Samuel Bamba</v>
      </c>
      <c r="E70" s="12" t="str">
        <f>Spieltag!C57</f>
        <v>Mittelfeld</v>
      </c>
      <c r="F70" s="13" t="s">
        <v>57</v>
      </c>
      <c r="G70" s="14"/>
      <c r="H70" s="15">
        <f t="shared" si="136"/>
        <v>0</v>
      </c>
      <c r="I70" s="14"/>
      <c r="J70" s="15">
        <f t="shared" si="137"/>
        <v>0</v>
      </c>
      <c r="K70" s="14"/>
      <c r="L70" s="15">
        <f t="shared" si="138"/>
        <v>0</v>
      </c>
      <c r="M70" s="14"/>
      <c r="N70" s="15">
        <f t="shared" si="139"/>
        <v>0</v>
      </c>
      <c r="O70" s="16">
        <f t="shared" si="140"/>
        <v>20</v>
      </c>
      <c r="P70" s="16">
        <f t="shared" si="141"/>
        <v>10</v>
      </c>
      <c r="Q70" s="16">
        <f t="shared" si="142"/>
        <v>10</v>
      </c>
      <c r="R70" s="14"/>
      <c r="S70" s="15">
        <f t="shared" si="143"/>
        <v>0</v>
      </c>
      <c r="T70" s="14"/>
      <c r="U70" s="15">
        <f t="shared" si="144"/>
        <v>0</v>
      </c>
      <c r="V70" s="16">
        <f t="shared" si="145"/>
        <v>0</v>
      </c>
      <c r="W70" s="17">
        <f t="shared" si="146"/>
        <v>0</v>
      </c>
    </row>
    <row r="71" spans="1:23" ht="10.5" customHeight="1" x14ac:dyDescent="0.2">
      <c r="A71" s="11"/>
      <c r="B71" s="149">
        <f>COUNTA(Spieltag!K58:AA58)</f>
        <v>2</v>
      </c>
      <c r="C71" s="166">
        <f>Spieltag!A58</f>
        <v>9</v>
      </c>
      <c r="D71" s="21" t="str">
        <f>Spieltag!B58</f>
        <v>Sebastien Haller (A)</v>
      </c>
      <c r="E71" s="12" t="str">
        <f>Spieltag!C58</f>
        <v>Sturm</v>
      </c>
      <c r="F71" s="13" t="s">
        <v>57</v>
      </c>
      <c r="G71" s="14" t="s">
        <v>676</v>
      </c>
      <c r="H71" s="15">
        <f t="shared" ref="H71:H72" si="155">IF(G71="x",10,0)</f>
        <v>10</v>
      </c>
      <c r="I71" s="14"/>
      <c r="J71" s="15">
        <f t="shared" ref="J71:J72" si="156">IF((I71="x"),-10,0)</f>
        <v>0</v>
      </c>
      <c r="K71" s="14"/>
      <c r="L71" s="15">
        <f t="shared" ref="L71:L72" si="157">IF((K71="x"),-20,0)</f>
        <v>0</v>
      </c>
      <c r="M71" s="14"/>
      <c r="N71" s="15">
        <f t="shared" ref="N71:N72" si="158">IF((M71="x"),-30,0)</f>
        <v>0</v>
      </c>
      <c r="O71" s="16">
        <f t="shared" si="140"/>
        <v>20</v>
      </c>
      <c r="P71" s="16">
        <f t="shared" si="141"/>
        <v>10</v>
      </c>
      <c r="Q71" s="16">
        <f t="shared" ref="Q71:Q76" si="159">IF(($Q$5&lt;&gt;0),$Q$5*-10,5)</f>
        <v>5</v>
      </c>
      <c r="R71" s="14"/>
      <c r="S71" s="15">
        <f t="shared" ref="S71:S72" si="160">R71*10</f>
        <v>0</v>
      </c>
      <c r="T71" s="14"/>
      <c r="U71" s="15">
        <f t="shared" ref="U71:U72" si="161">T71*-15</f>
        <v>0</v>
      </c>
      <c r="V71" s="16">
        <f t="shared" ref="V71:V72" si="162">IF(AND(R71=2),10,IF(R71=3,30,IF(R71=4,50,IF(R71=5,70,0))))</f>
        <v>0</v>
      </c>
      <c r="W71" s="17">
        <f t="shared" ref="W71:W72" si="163">IF(G71="x",H71+J71+L71+N71+O71+P71+Q71+S71+U71+V71,0)</f>
        <v>45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16</v>
      </c>
      <c r="D72" s="21" t="str">
        <f>Spieltag!B59</f>
        <v>Julien Duranville (A)</v>
      </c>
      <c r="E72" s="12" t="str">
        <f>Spieltag!C59</f>
        <v>Sturm</v>
      </c>
      <c r="F72" s="13" t="s">
        <v>57</v>
      </c>
      <c r="G72" s="14"/>
      <c r="H72" s="15">
        <f t="shared" si="155"/>
        <v>0</v>
      </c>
      <c r="I72" s="14"/>
      <c r="J72" s="15">
        <f t="shared" si="156"/>
        <v>0</v>
      </c>
      <c r="K72" s="14"/>
      <c r="L72" s="15">
        <f t="shared" si="157"/>
        <v>0</v>
      </c>
      <c r="M72" s="14"/>
      <c r="N72" s="15">
        <f t="shared" si="158"/>
        <v>0</v>
      </c>
      <c r="O72" s="16">
        <f t="shared" si="140"/>
        <v>20</v>
      </c>
      <c r="P72" s="16">
        <f t="shared" si="141"/>
        <v>10</v>
      </c>
      <c r="Q72" s="16">
        <f t="shared" si="159"/>
        <v>5</v>
      </c>
      <c r="R72" s="14"/>
      <c r="S72" s="15">
        <f t="shared" si="160"/>
        <v>0</v>
      </c>
      <c r="T72" s="14"/>
      <c r="U72" s="15">
        <f t="shared" si="161"/>
        <v>0</v>
      </c>
      <c r="V72" s="16">
        <f t="shared" si="162"/>
        <v>0</v>
      </c>
      <c r="W72" s="17">
        <f t="shared" si="163"/>
        <v>0</v>
      </c>
    </row>
    <row r="73" spans="1:23" ht="10.5" hidden="1" customHeight="1" x14ac:dyDescent="0.2">
      <c r="A73" s="11"/>
      <c r="B73" s="149">
        <f>COUNTA(Spieltag!K60:AA60)</f>
        <v>0</v>
      </c>
      <c r="C73" s="166">
        <f>Spieltag!A60</f>
        <v>18</v>
      </c>
      <c r="D73" s="21" t="str">
        <f>Spieltag!B60</f>
        <v xml:space="preserve">Youssoufa Moukoko </v>
      </c>
      <c r="E73" s="12" t="str">
        <f>Spieltag!C60</f>
        <v>Sturm</v>
      </c>
      <c r="F73" s="13" t="s">
        <v>57</v>
      </c>
      <c r="G73" s="14"/>
      <c r="H73" s="15">
        <f t="shared" ref="H73:H76" si="164">IF(G73="x",10,0)</f>
        <v>0</v>
      </c>
      <c r="I73" s="14"/>
      <c r="J73" s="15">
        <f t="shared" ref="J73:J76" si="165">IF((I73="x"),-10,0)</f>
        <v>0</v>
      </c>
      <c r="K73" s="14"/>
      <c r="L73" s="15">
        <f t="shared" ref="L73:L76" si="166">IF((K73="x"),-20,0)</f>
        <v>0</v>
      </c>
      <c r="M73" s="14"/>
      <c r="N73" s="15">
        <f t="shared" ref="N73:N76" si="167">IF((M73="x"),-30,0)</f>
        <v>0</v>
      </c>
      <c r="O73" s="16">
        <f t="shared" si="140"/>
        <v>20</v>
      </c>
      <c r="P73" s="16">
        <f t="shared" si="141"/>
        <v>10</v>
      </c>
      <c r="Q73" s="16">
        <f t="shared" si="159"/>
        <v>5</v>
      </c>
      <c r="R73" s="14"/>
      <c r="S73" s="15">
        <f t="shared" ref="S73:S76" si="168">R73*10</f>
        <v>0</v>
      </c>
      <c r="T73" s="14"/>
      <c r="U73" s="15">
        <f t="shared" ref="U73:U76" si="169">T73*-15</f>
        <v>0</v>
      </c>
      <c r="V73" s="16">
        <f t="shared" ref="V73:V76" si="170">IF(AND(R73=2),10,IF(R73=3,30,IF(R73=4,50,IF(R73=5,70,0))))</f>
        <v>0</v>
      </c>
      <c r="W73" s="17">
        <f t="shared" ref="W73:W76" si="171">IF(G73="x",H73+J73+L73+N73+O73+P73+Q73+S73+U73+V73,0)</f>
        <v>0</v>
      </c>
    </row>
    <row r="74" spans="1:23" ht="10.5" customHeight="1" x14ac:dyDescent="0.2">
      <c r="A74" s="11"/>
      <c r="B74" s="149">
        <f>COUNTA(Spieltag!K61:AA61)</f>
        <v>1</v>
      </c>
      <c r="C74" s="166">
        <f>Spieltag!A61</f>
        <v>21</v>
      </c>
      <c r="D74" s="21" t="str">
        <f>Spieltag!B61</f>
        <v>Donyell Malen (A)</v>
      </c>
      <c r="E74" s="12" t="str">
        <f>Spieltag!C61</f>
        <v>Sturm</v>
      </c>
      <c r="F74" s="13" t="s">
        <v>57</v>
      </c>
      <c r="G74" s="14" t="s">
        <v>676</v>
      </c>
      <c r="H74" s="15">
        <f t="shared" ref="H74" si="172">IF(G74="x",10,0)</f>
        <v>10</v>
      </c>
      <c r="I74" s="14" t="s">
        <v>676</v>
      </c>
      <c r="J74" s="15">
        <f t="shared" ref="J74" si="173">IF((I74="x"),-10,0)</f>
        <v>-10</v>
      </c>
      <c r="K74" s="14"/>
      <c r="L74" s="15">
        <f t="shared" ref="L74" si="174">IF((K74="x"),-20,0)</f>
        <v>0</v>
      </c>
      <c r="M74" s="14"/>
      <c r="N74" s="15">
        <f t="shared" ref="N74" si="175">IF((M74="x"),-30,0)</f>
        <v>0</v>
      </c>
      <c r="O74" s="16">
        <f t="shared" si="140"/>
        <v>20</v>
      </c>
      <c r="P74" s="16">
        <f t="shared" si="141"/>
        <v>10</v>
      </c>
      <c r="Q74" s="16">
        <f t="shared" si="159"/>
        <v>5</v>
      </c>
      <c r="R74" s="14">
        <v>1</v>
      </c>
      <c r="S74" s="15">
        <f t="shared" ref="S74" si="176">R74*10</f>
        <v>10</v>
      </c>
      <c r="T74" s="14"/>
      <c r="U74" s="15">
        <f t="shared" ref="U74" si="177">T74*-15</f>
        <v>0</v>
      </c>
      <c r="V74" s="16">
        <f t="shared" ref="V74" si="178">IF(AND(R74=2),10,IF(R74=3,30,IF(R74=4,50,IF(R74=5,70,0))))</f>
        <v>0</v>
      </c>
      <c r="W74" s="17">
        <f t="shared" ref="W74" si="179">IF(G74="x",H74+J74+L74+N74+O74+P74+Q74+S74+U74+V74,0)</f>
        <v>45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27</v>
      </c>
      <c r="D75" s="21" t="str">
        <f>Spieltag!B62</f>
        <v>Karim Adeyemi</v>
      </c>
      <c r="E75" s="12" t="str">
        <f>Spieltag!C62</f>
        <v>Sturm</v>
      </c>
      <c r="F75" s="13" t="s">
        <v>57</v>
      </c>
      <c r="G75" s="14"/>
      <c r="H75" s="15">
        <f t="shared" si="164"/>
        <v>0</v>
      </c>
      <c r="I75" s="14"/>
      <c r="J75" s="15">
        <f t="shared" si="165"/>
        <v>0</v>
      </c>
      <c r="K75" s="14"/>
      <c r="L75" s="15">
        <f t="shared" si="166"/>
        <v>0</v>
      </c>
      <c r="M75" s="14"/>
      <c r="N75" s="15">
        <f t="shared" si="167"/>
        <v>0</v>
      </c>
      <c r="O75" s="16">
        <f t="shared" si="140"/>
        <v>20</v>
      </c>
      <c r="P75" s="16">
        <f t="shared" si="141"/>
        <v>10</v>
      </c>
      <c r="Q75" s="16">
        <f t="shared" si="159"/>
        <v>5</v>
      </c>
      <c r="R75" s="14"/>
      <c r="S75" s="15">
        <f t="shared" si="168"/>
        <v>0</v>
      </c>
      <c r="T75" s="14"/>
      <c r="U75" s="15">
        <f t="shared" si="169"/>
        <v>0</v>
      </c>
      <c r="V75" s="16">
        <f t="shared" si="170"/>
        <v>0</v>
      </c>
      <c r="W75" s="17">
        <f t="shared" si="171"/>
        <v>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43</v>
      </c>
      <c r="D76" s="21" t="str">
        <f>Spieltag!B63</f>
        <v>Jamie Bynoe-Gittens (A)</v>
      </c>
      <c r="E76" s="12" t="str">
        <f>Spieltag!C63</f>
        <v>Sturm</v>
      </c>
      <c r="F76" s="13" t="s">
        <v>57</v>
      </c>
      <c r="G76" s="14"/>
      <c r="H76" s="15">
        <f t="shared" si="164"/>
        <v>0</v>
      </c>
      <c r="I76" s="14"/>
      <c r="J76" s="15">
        <f t="shared" si="165"/>
        <v>0</v>
      </c>
      <c r="K76" s="14"/>
      <c r="L76" s="15">
        <f t="shared" si="166"/>
        <v>0</v>
      </c>
      <c r="M76" s="14"/>
      <c r="N76" s="15">
        <f t="shared" si="167"/>
        <v>0</v>
      </c>
      <c r="O76" s="16">
        <f t="shared" si="140"/>
        <v>20</v>
      </c>
      <c r="P76" s="16">
        <f t="shared" si="141"/>
        <v>10</v>
      </c>
      <c r="Q76" s="16">
        <f t="shared" si="159"/>
        <v>5</v>
      </c>
      <c r="R76" s="14"/>
      <c r="S76" s="15">
        <f t="shared" si="168"/>
        <v>0</v>
      </c>
      <c r="T76" s="14"/>
      <c r="U76" s="15">
        <f t="shared" si="169"/>
        <v>0</v>
      </c>
      <c r="V76" s="16">
        <f t="shared" si="170"/>
        <v>0</v>
      </c>
      <c r="W76" s="17">
        <f t="shared" si="171"/>
        <v>0</v>
      </c>
    </row>
    <row r="77" spans="1:23" s="144" customFormat="1" ht="17.25" thickBot="1" x14ac:dyDescent="0.25">
      <c r="A77" s="142"/>
      <c r="B77" s="143">
        <f>SUM(B78:B104)</f>
        <v>7</v>
      </c>
      <c r="C77" s="158"/>
      <c r="D77" s="221" t="s">
        <v>128</v>
      </c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2"/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</v>
      </c>
      <c r="D78" s="21" t="str">
        <f>Spieltag!B65</f>
        <v>Peter Gulacsi (A)</v>
      </c>
      <c r="E78" s="12" t="str">
        <f>Spieltag!C65</f>
        <v>Torwart</v>
      </c>
      <c r="F78" s="13" t="s">
        <v>134</v>
      </c>
      <c r="G78" s="14"/>
      <c r="H78" s="15">
        <f>IF(G78="x",10,0)</f>
        <v>0</v>
      </c>
      <c r="I78" s="14"/>
      <c r="J78" s="15">
        <f>IF((I78="x"),-10,0)</f>
        <v>0</v>
      </c>
      <c r="K78" s="14"/>
      <c r="L78" s="15">
        <f>IF((K78="x"),-20,0)</f>
        <v>0</v>
      </c>
      <c r="M78" s="14"/>
      <c r="N78" s="15">
        <f>IF((M78="x"),-30,0)</f>
        <v>0</v>
      </c>
      <c r="O78" s="16">
        <f t="shared" ref="O78:O99" si="180">IF(AND($P$8&gt;$Q$8),20,IF($P$8=$Q$8,10,0))</f>
        <v>0</v>
      </c>
      <c r="P78" s="16">
        <f t="shared" ref="P78:P99" si="181">IF(($P$8&lt;&gt;0),$P$8*10,-5)</f>
        <v>20</v>
      </c>
      <c r="Q78" s="16">
        <f>IF(($Q$8&lt;&gt;0),$Q$8*-10,20)</f>
        <v>-30</v>
      </c>
      <c r="R78" s="14"/>
      <c r="S78" s="15">
        <f>R78*20</f>
        <v>0</v>
      </c>
      <c r="T78" s="14"/>
      <c r="U78" s="15">
        <f>T78*-15</f>
        <v>0</v>
      </c>
      <c r="V78" s="16">
        <f t="shared" ref="V78" si="182">IF(AND(R78=2),10,IF(R78=3,30,IF(R78=4,50,IF(R78=5,70,0))))</f>
        <v>0</v>
      </c>
      <c r="W78" s="17">
        <f t="shared" ref="W78" si="183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Janis Blaswich</v>
      </c>
      <c r="E79" s="12" t="str">
        <f>Spieltag!C66</f>
        <v>Torwart</v>
      </c>
      <c r="F79" s="13" t="s">
        <v>134</v>
      </c>
      <c r="G79" s="14"/>
      <c r="H79" s="15">
        <f>IF(G79="x",10,0)</f>
        <v>0</v>
      </c>
      <c r="I79" s="14"/>
      <c r="J79" s="15">
        <f>IF((I79="x"),-10,0)</f>
        <v>0</v>
      </c>
      <c r="K79" s="14"/>
      <c r="L79" s="15">
        <f>IF((K79="x"),-20,0)</f>
        <v>0</v>
      </c>
      <c r="M79" s="14"/>
      <c r="N79" s="15">
        <f>IF((M79="x"),-30,0)</f>
        <v>0</v>
      </c>
      <c r="O79" s="16">
        <f t="shared" si="180"/>
        <v>0</v>
      </c>
      <c r="P79" s="16">
        <f t="shared" si="181"/>
        <v>20</v>
      </c>
      <c r="Q79" s="16">
        <f>IF(($Q$8&lt;&gt;0),$Q$8*-10,20)</f>
        <v>-30</v>
      </c>
      <c r="R79" s="14"/>
      <c r="S79" s="15">
        <f>R79*20</f>
        <v>0</v>
      </c>
      <c r="T79" s="14"/>
      <c r="U79" s="15">
        <f>T79*-15</f>
        <v>0</v>
      </c>
      <c r="V79" s="16">
        <f t="shared" ref="V79:V81" si="184">IF(AND(R79=2),10,IF(R79=3,30,IF(R79=4,50,IF(R79=5,70,0))))</f>
        <v>0</v>
      </c>
      <c r="W79" s="17">
        <f t="shared" ref="W79:W81" si="185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25</v>
      </c>
      <c r="D80" s="21" t="str">
        <f>Spieltag!B67</f>
        <v>Leopold Zingerle</v>
      </c>
      <c r="E80" s="12" t="str">
        <f>Spieltag!C67</f>
        <v>Torwart</v>
      </c>
      <c r="F80" s="13" t="s">
        <v>134</v>
      </c>
      <c r="G80" s="14"/>
      <c r="H80" s="15">
        <f t="shared" ref="H80" si="186">IF(G80="x",10,0)</f>
        <v>0</v>
      </c>
      <c r="I80" s="14"/>
      <c r="J80" s="15">
        <f t="shared" ref="J80" si="187">IF((I80="x"),-10,0)</f>
        <v>0</v>
      </c>
      <c r="K80" s="14"/>
      <c r="L80" s="15">
        <f t="shared" ref="L80" si="188">IF((K80="x"),-20,0)</f>
        <v>0</v>
      </c>
      <c r="M80" s="14"/>
      <c r="N80" s="15">
        <f t="shared" ref="N80" si="189">IF((M80="x"),-30,0)</f>
        <v>0</v>
      </c>
      <c r="O80" s="16">
        <f t="shared" si="180"/>
        <v>0</v>
      </c>
      <c r="P80" s="16">
        <f t="shared" si="181"/>
        <v>20</v>
      </c>
      <c r="Q80" s="16">
        <f t="shared" ref="Q80:Q81" si="190">IF(($Q$8&lt;&gt;0),$Q$8*-10,20)</f>
        <v>-30</v>
      </c>
      <c r="R80" s="14"/>
      <c r="S80" s="15">
        <f t="shared" ref="S80" si="191">R80*20</f>
        <v>0</v>
      </c>
      <c r="T80" s="14"/>
      <c r="U80" s="15">
        <f t="shared" ref="U80" si="192">T80*-15</f>
        <v>0</v>
      </c>
      <c r="V80" s="16">
        <f t="shared" ref="V80" si="193">IF(AND(R80=2),10,IF(R80=3,30,IF(R80=4,50,IF(R80=5,70,0))))</f>
        <v>0</v>
      </c>
      <c r="W80" s="17">
        <f t="shared" ref="W80" si="194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36</v>
      </c>
      <c r="D81" s="21" t="str">
        <f>Spieltag!B68</f>
        <v>Timo Schlieck</v>
      </c>
      <c r="E81" s="12" t="str">
        <f>Spieltag!C68</f>
        <v>Torwart</v>
      </c>
      <c r="F81" s="13" t="s">
        <v>134</v>
      </c>
      <c r="G81" s="14"/>
      <c r="H81" s="15">
        <f t="shared" ref="H81" si="195">IF(G81="x",10,0)</f>
        <v>0</v>
      </c>
      <c r="I81" s="14"/>
      <c r="J81" s="15">
        <f t="shared" ref="J81" si="196">IF((I81="x"),-10,0)</f>
        <v>0</v>
      </c>
      <c r="K81" s="14"/>
      <c r="L81" s="15">
        <f t="shared" ref="L81" si="197">IF((K81="x"),-20,0)</f>
        <v>0</v>
      </c>
      <c r="M81" s="14"/>
      <c r="N81" s="15">
        <f t="shared" ref="N81" si="198">IF((M81="x"),-30,0)</f>
        <v>0</v>
      </c>
      <c r="O81" s="16">
        <f t="shared" si="180"/>
        <v>0</v>
      </c>
      <c r="P81" s="16">
        <f t="shared" si="181"/>
        <v>20</v>
      </c>
      <c r="Q81" s="16">
        <f t="shared" si="190"/>
        <v>-30</v>
      </c>
      <c r="R81" s="14"/>
      <c r="S81" s="15">
        <f t="shared" ref="S81" si="199">R81*20</f>
        <v>0</v>
      </c>
      <c r="T81" s="14"/>
      <c r="U81" s="15">
        <f t="shared" ref="U81" si="200">T81*-15</f>
        <v>0</v>
      </c>
      <c r="V81" s="16">
        <f t="shared" si="184"/>
        <v>0</v>
      </c>
      <c r="W81" s="17">
        <f t="shared" si="185"/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2</v>
      </c>
      <c r="D82" s="21" t="str">
        <f>Spieltag!B69</f>
        <v>Mohamed Simakan (A)</v>
      </c>
      <c r="E82" s="12" t="str">
        <f>Spieltag!C69</f>
        <v>Abwehr</v>
      </c>
      <c r="F82" s="13" t="s">
        <v>134</v>
      </c>
      <c r="G82" s="14"/>
      <c r="H82" s="15">
        <f t="shared" ref="H82" si="201">IF(G82="x",10,0)</f>
        <v>0</v>
      </c>
      <c r="I82" s="14"/>
      <c r="J82" s="15">
        <f t="shared" ref="J82" si="202">IF((I82="x"),-10,0)</f>
        <v>0</v>
      </c>
      <c r="K82" s="14"/>
      <c r="L82" s="15">
        <f t="shared" ref="L82" si="203">IF((K82="x"),-20,0)</f>
        <v>0</v>
      </c>
      <c r="M82" s="14"/>
      <c r="N82" s="15">
        <f t="shared" ref="N82" si="204">IF((M82="x"),-30,0)</f>
        <v>0</v>
      </c>
      <c r="O82" s="16">
        <f t="shared" si="180"/>
        <v>0</v>
      </c>
      <c r="P82" s="16">
        <f t="shared" si="181"/>
        <v>20</v>
      </c>
      <c r="Q82" s="16">
        <f t="shared" ref="Q82:Q88" si="205">IF(($Q$8&lt;&gt;0),$Q$8*-10,15)</f>
        <v>-30</v>
      </c>
      <c r="R82" s="14"/>
      <c r="S82" s="15">
        <f t="shared" ref="S82" si="206">R82*15</f>
        <v>0</v>
      </c>
      <c r="T82" s="14"/>
      <c r="U82" s="15">
        <f t="shared" ref="U82" si="207">T82*-15</f>
        <v>0</v>
      </c>
      <c r="V82" s="16">
        <f t="shared" ref="V82" si="208">IF(AND(R82=2),10,IF(R82=3,30,IF(R82=4,50,IF(R82=5,70,0))))</f>
        <v>0</v>
      </c>
      <c r="W82" s="17">
        <f t="shared" ref="W82" si="209">IF(G82="x",H82+J82+L82+N82+O82+P82+Q82+S82+U82+V82,0)</f>
        <v>0</v>
      </c>
    </row>
    <row r="83" spans="1:23" ht="10.5" customHeight="1" x14ac:dyDescent="0.2">
      <c r="A83" s="11"/>
      <c r="B83" s="149">
        <f>COUNTA(Spieltag!K70:AA70)</f>
        <v>1</v>
      </c>
      <c r="C83" s="166">
        <f>Spieltag!A70</f>
        <v>4</v>
      </c>
      <c r="D83" s="21" t="str">
        <f>Spieltag!B70</f>
        <v>Willi Orban</v>
      </c>
      <c r="E83" s="12" t="str">
        <f>Spieltag!C70</f>
        <v>Abwehr</v>
      </c>
      <c r="F83" s="13" t="s">
        <v>134</v>
      </c>
      <c r="G83" s="14" t="s">
        <v>676</v>
      </c>
      <c r="H83" s="15">
        <f t="shared" ref="H83:H88" si="210">IF(G83="x",10,0)</f>
        <v>10</v>
      </c>
      <c r="I83" s="14"/>
      <c r="J83" s="15">
        <f t="shared" ref="J83:J88" si="211">IF((I83="x"),-10,0)</f>
        <v>0</v>
      </c>
      <c r="K83" s="14"/>
      <c r="L83" s="15">
        <f t="shared" ref="L83:L88" si="212">IF((K83="x"),-20,0)</f>
        <v>0</v>
      </c>
      <c r="M83" s="14"/>
      <c r="N83" s="15">
        <f t="shared" ref="N83:N88" si="213">IF((M83="x"),-30,0)</f>
        <v>0</v>
      </c>
      <c r="O83" s="16">
        <f t="shared" si="180"/>
        <v>0</v>
      </c>
      <c r="P83" s="16">
        <f t="shared" si="181"/>
        <v>20</v>
      </c>
      <c r="Q83" s="16">
        <f t="shared" si="205"/>
        <v>-30</v>
      </c>
      <c r="R83" s="14"/>
      <c r="S83" s="15">
        <f t="shared" ref="S83:S88" si="214">R83*15</f>
        <v>0</v>
      </c>
      <c r="T83" s="14"/>
      <c r="U83" s="15">
        <f t="shared" ref="U83:U88" si="215">T83*-15</f>
        <v>0</v>
      </c>
      <c r="V83" s="16">
        <f t="shared" ref="V83:V88" si="216">IF(AND(R83=2),10,IF(R83=3,30,IF(R83=4,50,IF(R83=5,70,0))))</f>
        <v>0</v>
      </c>
      <c r="W83" s="17">
        <f t="shared" ref="W83:W88" si="217">IF(G83="x",H83+J83+L83+N83+O83+P83+Q83+S83+U83+V83,0)</f>
        <v>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5</v>
      </c>
      <c r="D84" s="21" t="str">
        <f>Spieltag!B71</f>
        <v>El Chadaille Bitshiabu (A)</v>
      </c>
      <c r="E84" s="12" t="str">
        <f>Spieltag!C71</f>
        <v>Abwehr</v>
      </c>
      <c r="F84" s="13" t="s">
        <v>134</v>
      </c>
      <c r="G84" s="14"/>
      <c r="H84" s="15">
        <f t="shared" si="210"/>
        <v>0</v>
      </c>
      <c r="I84" s="14"/>
      <c r="J84" s="15">
        <f t="shared" si="211"/>
        <v>0</v>
      </c>
      <c r="K84" s="14"/>
      <c r="L84" s="15">
        <f t="shared" si="212"/>
        <v>0</v>
      </c>
      <c r="M84" s="14"/>
      <c r="N84" s="15">
        <f t="shared" si="213"/>
        <v>0</v>
      </c>
      <c r="O84" s="16">
        <f t="shared" si="180"/>
        <v>0</v>
      </c>
      <c r="P84" s="16">
        <f t="shared" si="181"/>
        <v>20</v>
      </c>
      <c r="Q84" s="16">
        <f t="shared" si="205"/>
        <v>-30</v>
      </c>
      <c r="R84" s="14"/>
      <c r="S84" s="15">
        <f t="shared" si="214"/>
        <v>0</v>
      </c>
      <c r="T84" s="14"/>
      <c r="U84" s="15">
        <f t="shared" si="215"/>
        <v>0</v>
      </c>
      <c r="V84" s="16">
        <f t="shared" si="216"/>
        <v>0</v>
      </c>
      <c r="W84" s="17">
        <f t="shared" si="217"/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16</v>
      </c>
      <c r="D85" s="21" t="str">
        <f>Spieltag!B72</f>
        <v>Lukas Klostermann</v>
      </c>
      <c r="E85" s="12" t="str">
        <f>Spieltag!C72</f>
        <v>Abwehr</v>
      </c>
      <c r="F85" s="13" t="s">
        <v>134</v>
      </c>
      <c r="G85" s="14"/>
      <c r="H85" s="15">
        <f t="shared" si="210"/>
        <v>0</v>
      </c>
      <c r="I85" s="14"/>
      <c r="J85" s="15">
        <f t="shared" si="211"/>
        <v>0</v>
      </c>
      <c r="K85" s="14"/>
      <c r="L85" s="15">
        <f t="shared" si="212"/>
        <v>0</v>
      </c>
      <c r="M85" s="14"/>
      <c r="N85" s="15">
        <f t="shared" si="213"/>
        <v>0</v>
      </c>
      <c r="O85" s="16">
        <f t="shared" si="180"/>
        <v>0</v>
      </c>
      <c r="P85" s="16">
        <f t="shared" si="181"/>
        <v>20</v>
      </c>
      <c r="Q85" s="16">
        <f t="shared" si="205"/>
        <v>-30</v>
      </c>
      <c r="R85" s="14"/>
      <c r="S85" s="15">
        <f t="shared" si="214"/>
        <v>0</v>
      </c>
      <c r="T85" s="14"/>
      <c r="U85" s="15">
        <f t="shared" si="215"/>
        <v>0</v>
      </c>
      <c r="V85" s="16">
        <f t="shared" si="216"/>
        <v>0</v>
      </c>
      <c r="W85" s="17">
        <f t="shared" si="217"/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22</v>
      </c>
      <c r="D86" s="21" t="str">
        <f>Spieltag!B73</f>
        <v>David Raum</v>
      </c>
      <c r="E86" s="12" t="str">
        <f>Spieltag!C73</f>
        <v>Abwehr</v>
      </c>
      <c r="F86" s="13" t="s">
        <v>134</v>
      </c>
      <c r="G86" s="14"/>
      <c r="H86" s="15">
        <f t="shared" si="210"/>
        <v>0</v>
      </c>
      <c r="I86" s="14"/>
      <c r="J86" s="15">
        <f t="shared" si="211"/>
        <v>0</v>
      </c>
      <c r="K86" s="14"/>
      <c r="L86" s="15">
        <f t="shared" si="212"/>
        <v>0</v>
      </c>
      <c r="M86" s="14"/>
      <c r="N86" s="15">
        <f t="shared" si="213"/>
        <v>0</v>
      </c>
      <c r="O86" s="16">
        <f t="shared" si="180"/>
        <v>0</v>
      </c>
      <c r="P86" s="16">
        <f t="shared" si="181"/>
        <v>20</v>
      </c>
      <c r="Q86" s="16">
        <f t="shared" si="205"/>
        <v>-30</v>
      </c>
      <c r="R86" s="14"/>
      <c r="S86" s="15">
        <f t="shared" si="214"/>
        <v>0</v>
      </c>
      <c r="T86" s="14"/>
      <c r="U86" s="15">
        <f t="shared" si="215"/>
        <v>0</v>
      </c>
      <c r="V86" s="16">
        <f t="shared" si="216"/>
        <v>0</v>
      </c>
      <c r="W86" s="17">
        <f t="shared" si="217"/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23</v>
      </c>
      <c r="D87" s="21" t="str">
        <f>Spieltag!B74</f>
        <v>Castello Lukeba (A)</v>
      </c>
      <c r="E87" s="12" t="str">
        <f>Spieltag!C74</f>
        <v>Abwehr</v>
      </c>
      <c r="F87" s="13" t="s">
        <v>134</v>
      </c>
      <c r="G87" s="14"/>
      <c r="H87" s="15">
        <f t="shared" ref="H87" si="218">IF(G87="x",10,0)</f>
        <v>0</v>
      </c>
      <c r="I87" s="14"/>
      <c r="J87" s="15">
        <f t="shared" ref="J87" si="219">IF((I87="x"),-10,0)</f>
        <v>0</v>
      </c>
      <c r="K87" s="14"/>
      <c r="L87" s="15">
        <f t="shared" ref="L87" si="220">IF((K87="x"),-20,0)</f>
        <v>0</v>
      </c>
      <c r="M87" s="14"/>
      <c r="N87" s="15">
        <f t="shared" ref="N87" si="221">IF((M87="x"),-30,0)</f>
        <v>0</v>
      </c>
      <c r="O87" s="16">
        <f t="shared" si="180"/>
        <v>0</v>
      </c>
      <c r="P87" s="16">
        <f t="shared" si="181"/>
        <v>20</v>
      </c>
      <c r="Q87" s="16">
        <f t="shared" si="205"/>
        <v>-30</v>
      </c>
      <c r="R87" s="14"/>
      <c r="S87" s="15">
        <f t="shared" ref="S87" si="222">R87*15</f>
        <v>0</v>
      </c>
      <c r="T87" s="14"/>
      <c r="U87" s="15">
        <f t="shared" ref="U87" si="223">T87*-15</f>
        <v>0</v>
      </c>
      <c r="V87" s="16">
        <f t="shared" ref="V87" si="224">IF(AND(R87=2),10,IF(R87=3,30,IF(R87=4,50,IF(R87=5,70,0))))</f>
        <v>0</v>
      </c>
      <c r="W87" s="17">
        <f t="shared" ref="W87" si="225">IF(G87="x",H87+J87+L87+N87+O87+P87+Q87+S87+U87+V87,0)</f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39</v>
      </c>
      <c r="D88" s="21" t="str">
        <f>Spieltag!B75</f>
        <v>Benjamin Henrichs</v>
      </c>
      <c r="E88" s="12" t="str">
        <f>Spieltag!C75</f>
        <v>Abwehr</v>
      </c>
      <c r="F88" s="13" t="s">
        <v>134</v>
      </c>
      <c r="G88" s="14"/>
      <c r="H88" s="15">
        <f t="shared" si="210"/>
        <v>0</v>
      </c>
      <c r="I88" s="14"/>
      <c r="J88" s="15">
        <f t="shared" si="211"/>
        <v>0</v>
      </c>
      <c r="K88" s="14"/>
      <c r="L88" s="15">
        <f t="shared" si="212"/>
        <v>0</v>
      </c>
      <c r="M88" s="14"/>
      <c r="N88" s="15">
        <f t="shared" si="213"/>
        <v>0</v>
      </c>
      <c r="O88" s="16">
        <f t="shared" si="180"/>
        <v>0</v>
      </c>
      <c r="P88" s="16">
        <f t="shared" si="181"/>
        <v>20</v>
      </c>
      <c r="Q88" s="16">
        <f t="shared" si="205"/>
        <v>-30</v>
      </c>
      <c r="R88" s="14"/>
      <c r="S88" s="15">
        <f t="shared" si="214"/>
        <v>0</v>
      </c>
      <c r="T88" s="14"/>
      <c r="U88" s="15">
        <f t="shared" si="215"/>
        <v>0</v>
      </c>
      <c r="V88" s="16">
        <f t="shared" si="216"/>
        <v>0</v>
      </c>
      <c r="W88" s="17">
        <f t="shared" si="217"/>
        <v>0</v>
      </c>
    </row>
    <row r="89" spans="1:23" ht="10.5" customHeight="1" x14ac:dyDescent="0.2">
      <c r="A89" s="11"/>
      <c r="B89" s="149">
        <f>COUNTA(Spieltag!K76:AA76)</f>
        <v>4</v>
      </c>
      <c r="C89" s="166">
        <f>Spieltag!A76</f>
        <v>7</v>
      </c>
      <c r="D89" s="21" t="str">
        <f>Spieltag!B76</f>
        <v>Dani Olmo (A)</v>
      </c>
      <c r="E89" s="12" t="str">
        <f>Spieltag!C76</f>
        <v>Mittelfeld</v>
      </c>
      <c r="F89" s="13" t="s">
        <v>134</v>
      </c>
      <c r="G89" s="14" t="s">
        <v>676</v>
      </c>
      <c r="H89" s="15">
        <f t="shared" ref="H89" si="226">IF(G89="x",10,0)</f>
        <v>10</v>
      </c>
      <c r="I89" s="14"/>
      <c r="J89" s="15">
        <f t="shared" ref="J89" si="227">IF((I89="x"),-10,0)</f>
        <v>0</v>
      </c>
      <c r="K89" s="14"/>
      <c r="L89" s="15">
        <f t="shared" ref="L89" si="228">IF((K89="x"),-20,0)</f>
        <v>0</v>
      </c>
      <c r="M89" s="14"/>
      <c r="N89" s="15">
        <f t="shared" ref="N89" si="229">IF((M89="x"),-30,0)</f>
        <v>0</v>
      </c>
      <c r="O89" s="16">
        <f t="shared" si="180"/>
        <v>0</v>
      </c>
      <c r="P89" s="16">
        <f t="shared" si="181"/>
        <v>20</v>
      </c>
      <c r="Q89" s="16">
        <f t="shared" ref="Q89:Q99" si="230">IF(($Q$8&lt;&gt;0),$Q$8*-10,10)</f>
        <v>-30</v>
      </c>
      <c r="R89" s="14">
        <v>1</v>
      </c>
      <c r="S89" s="15">
        <f t="shared" ref="S89" si="231">R89*10</f>
        <v>10</v>
      </c>
      <c r="T89" s="14"/>
      <c r="U89" s="15">
        <f t="shared" ref="U89" si="232">T89*-15</f>
        <v>0</v>
      </c>
      <c r="V89" s="16">
        <f t="shared" ref="V89" si="233">IF(AND(R89=2),10,IF(R89=3,30,IF(R89=4,50,IF(R89=5,70,0))))</f>
        <v>0</v>
      </c>
      <c r="W89" s="17">
        <f t="shared" ref="W89" si="234">IF(G89="x",H89+J89+L89+N89+O89+P89+Q89+S89+U89+V89,0)</f>
        <v>10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8</v>
      </c>
      <c r="D90" s="21" t="str">
        <f>Spieltag!B77</f>
        <v>Amadou Haidara (A)</v>
      </c>
      <c r="E90" s="12" t="str">
        <f>Spieltag!C77</f>
        <v>Mittelfeld</v>
      </c>
      <c r="F90" s="13" t="s">
        <v>134</v>
      </c>
      <c r="G90" s="14"/>
      <c r="H90" s="15">
        <f t="shared" ref="H90:H99" si="235">IF(G90="x",10,0)</f>
        <v>0</v>
      </c>
      <c r="I90" s="14"/>
      <c r="J90" s="15">
        <f t="shared" ref="J90:J99" si="236">IF((I90="x"),-10,0)</f>
        <v>0</v>
      </c>
      <c r="K90" s="14"/>
      <c r="L90" s="15">
        <f t="shared" ref="L90:L99" si="237">IF((K90="x"),-20,0)</f>
        <v>0</v>
      </c>
      <c r="M90" s="14"/>
      <c r="N90" s="15">
        <f t="shared" ref="N90:N99" si="238">IF((M90="x"),-30,0)</f>
        <v>0</v>
      </c>
      <c r="O90" s="16">
        <f t="shared" si="180"/>
        <v>0</v>
      </c>
      <c r="P90" s="16">
        <f t="shared" si="181"/>
        <v>20</v>
      </c>
      <c r="Q90" s="16">
        <f t="shared" si="230"/>
        <v>-30</v>
      </c>
      <c r="R90" s="14"/>
      <c r="S90" s="15">
        <f t="shared" ref="S90:S99" si="239">R90*10</f>
        <v>0</v>
      </c>
      <c r="T90" s="14"/>
      <c r="U90" s="15">
        <f t="shared" ref="U90:U99" si="240">T90*-15</f>
        <v>0</v>
      </c>
      <c r="V90" s="16">
        <f t="shared" ref="V90:V99" si="241">IF(AND(R90=2),10,IF(R90=3,30,IF(R90=4,50,IF(R90=5,70,0))))</f>
        <v>0</v>
      </c>
      <c r="W90" s="17">
        <f t="shared" ref="W90:W99" si="242">IF(G90="x",H90+J90+L90+N90+O90+P90+Q90+S90+U90+V90,0)</f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10</v>
      </c>
      <c r="D91" s="21" t="str">
        <f>Spieltag!B78</f>
        <v>Emil Forsberg (A)</v>
      </c>
      <c r="E91" s="12" t="str">
        <f>Spieltag!C78</f>
        <v>Mittelfeld</v>
      </c>
      <c r="F91" s="13" t="s">
        <v>134</v>
      </c>
      <c r="G91" s="14"/>
      <c r="H91" s="15">
        <f t="shared" si="235"/>
        <v>0</v>
      </c>
      <c r="I91" s="14"/>
      <c r="J91" s="15">
        <f t="shared" si="236"/>
        <v>0</v>
      </c>
      <c r="K91" s="14"/>
      <c r="L91" s="15">
        <f t="shared" si="237"/>
        <v>0</v>
      </c>
      <c r="M91" s="14"/>
      <c r="N91" s="15">
        <f t="shared" si="238"/>
        <v>0</v>
      </c>
      <c r="O91" s="16">
        <f t="shared" si="180"/>
        <v>0</v>
      </c>
      <c r="P91" s="16">
        <f t="shared" si="181"/>
        <v>20</v>
      </c>
      <c r="Q91" s="16">
        <f t="shared" si="230"/>
        <v>-30</v>
      </c>
      <c r="R91" s="14"/>
      <c r="S91" s="15">
        <f t="shared" si="239"/>
        <v>0</v>
      </c>
      <c r="T91" s="14"/>
      <c r="U91" s="15">
        <f t="shared" si="240"/>
        <v>0</v>
      </c>
      <c r="V91" s="16">
        <f t="shared" si="241"/>
        <v>0</v>
      </c>
      <c r="W91" s="17">
        <f t="shared" si="242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13</v>
      </c>
      <c r="D92" s="21" t="str">
        <f>Spieltag!B79</f>
        <v>Nicolas Seiwald (A)</v>
      </c>
      <c r="E92" s="12" t="str">
        <f>Spieltag!C79</f>
        <v>Mittelfeld</v>
      </c>
      <c r="F92" s="13" t="s">
        <v>134</v>
      </c>
      <c r="G92" s="14"/>
      <c r="H92" s="15">
        <f t="shared" si="235"/>
        <v>0</v>
      </c>
      <c r="I92" s="14"/>
      <c r="J92" s="15">
        <f t="shared" si="236"/>
        <v>0</v>
      </c>
      <c r="K92" s="14"/>
      <c r="L92" s="15">
        <f t="shared" si="237"/>
        <v>0</v>
      </c>
      <c r="M92" s="14"/>
      <c r="N92" s="15">
        <f t="shared" si="238"/>
        <v>0</v>
      </c>
      <c r="O92" s="16">
        <f t="shared" si="180"/>
        <v>0</v>
      </c>
      <c r="P92" s="16">
        <f t="shared" si="181"/>
        <v>20</v>
      </c>
      <c r="Q92" s="16">
        <f t="shared" si="230"/>
        <v>-30</v>
      </c>
      <c r="R92" s="14"/>
      <c r="S92" s="15">
        <f t="shared" si="239"/>
        <v>0</v>
      </c>
      <c r="T92" s="14"/>
      <c r="U92" s="15">
        <f t="shared" si="240"/>
        <v>0</v>
      </c>
      <c r="V92" s="16">
        <f t="shared" si="241"/>
        <v>0</v>
      </c>
      <c r="W92" s="17">
        <f t="shared" si="242"/>
        <v>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14</v>
      </c>
      <c r="D93" s="21" t="str">
        <f>Spieltag!B80</f>
        <v>Christoph Baumgartner (A)</v>
      </c>
      <c r="E93" s="12" t="str">
        <f>Spieltag!C80</f>
        <v>Mittelfeld</v>
      </c>
      <c r="F93" s="13" t="s">
        <v>134</v>
      </c>
      <c r="G93" s="14"/>
      <c r="H93" s="15">
        <f t="shared" si="235"/>
        <v>0</v>
      </c>
      <c r="I93" s="14"/>
      <c r="J93" s="15">
        <f t="shared" si="236"/>
        <v>0</v>
      </c>
      <c r="K93" s="14"/>
      <c r="L93" s="15">
        <f t="shared" si="237"/>
        <v>0</v>
      </c>
      <c r="M93" s="14"/>
      <c r="N93" s="15">
        <f t="shared" si="238"/>
        <v>0</v>
      </c>
      <c r="O93" s="16">
        <f t="shared" si="180"/>
        <v>0</v>
      </c>
      <c r="P93" s="16">
        <f t="shared" si="181"/>
        <v>20</v>
      </c>
      <c r="Q93" s="16">
        <f t="shared" si="230"/>
        <v>-30</v>
      </c>
      <c r="R93" s="14"/>
      <c r="S93" s="15">
        <f t="shared" si="239"/>
        <v>0</v>
      </c>
      <c r="T93" s="14"/>
      <c r="U93" s="15">
        <f t="shared" si="240"/>
        <v>0</v>
      </c>
      <c r="V93" s="16">
        <f t="shared" si="241"/>
        <v>0</v>
      </c>
      <c r="W93" s="17">
        <f t="shared" si="242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18</v>
      </c>
      <c r="D94" s="21" t="str">
        <f>Spieltag!B81</f>
        <v>Fabio Carvalho (A)</v>
      </c>
      <c r="E94" s="12" t="str">
        <f>Spieltag!C81</f>
        <v>Mittelfeld</v>
      </c>
      <c r="F94" s="13" t="s">
        <v>134</v>
      </c>
      <c r="G94" s="14"/>
      <c r="H94" s="15">
        <f t="shared" si="235"/>
        <v>0</v>
      </c>
      <c r="I94" s="14"/>
      <c r="J94" s="15">
        <f t="shared" si="236"/>
        <v>0</v>
      </c>
      <c r="K94" s="14"/>
      <c r="L94" s="15">
        <f t="shared" si="237"/>
        <v>0</v>
      </c>
      <c r="M94" s="14"/>
      <c r="N94" s="15">
        <f t="shared" si="238"/>
        <v>0</v>
      </c>
      <c r="O94" s="16">
        <f t="shared" si="180"/>
        <v>0</v>
      </c>
      <c r="P94" s="16">
        <f t="shared" si="181"/>
        <v>20</v>
      </c>
      <c r="Q94" s="16">
        <f t="shared" si="230"/>
        <v>-30</v>
      </c>
      <c r="R94" s="14"/>
      <c r="S94" s="15">
        <f t="shared" si="239"/>
        <v>0</v>
      </c>
      <c r="T94" s="14"/>
      <c r="U94" s="15">
        <f t="shared" si="240"/>
        <v>0</v>
      </c>
      <c r="V94" s="16">
        <f t="shared" si="241"/>
        <v>0</v>
      </c>
      <c r="W94" s="17">
        <f t="shared" si="242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20</v>
      </c>
      <c r="D95" s="21" t="str">
        <f>Spieltag!B82</f>
        <v>Xavi Simons (A)</v>
      </c>
      <c r="E95" s="12" t="str">
        <f>Spieltag!C82</f>
        <v>Mittelfeld</v>
      </c>
      <c r="F95" s="13" t="s">
        <v>134</v>
      </c>
      <c r="G95" s="14"/>
      <c r="H95" s="15">
        <f t="shared" si="235"/>
        <v>0</v>
      </c>
      <c r="I95" s="14"/>
      <c r="J95" s="15">
        <f t="shared" si="236"/>
        <v>0</v>
      </c>
      <c r="K95" s="14"/>
      <c r="L95" s="15">
        <f t="shared" si="237"/>
        <v>0</v>
      </c>
      <c r="M95" s="14"/>
      <c r="N95" s="15">
        <f t="shared" si="238"/>
        <v>0</v>
      </c>
      <c r="O95" s="16">
        <f t="shared" si="180"/>
        <v>0</v>
      </c>
      <c r="P95" s="16">
        <f t="shared" si="181"/>
        <v>20</v>
      </c>
      <c r="Q95" s="16">
        <f t="shared" si="230"/>
        <v>-30</v>
      </c>
      <c r="R95" s="14"/>
      <c r="S95" s="15">
        <f t="shared" si="239"/>
        <v>0</v>
      </c>
      <c r="T95" s="14"/>
      <c r="U95" s="15">
        <f t="shared" si="240"/>
        <v>0</v>
      </c>
      <c r="V95" s="16">
        <f t="shared" si="241"/>
        <v>0</v>
      </c>
      <c r="W95" s="17">
        <f t="shared" si="242"/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24</v>
      </c>
      <c r="D96" s="21" t="str">
        <f>Spieltag!B83</f>
        <v>Xaver Schlager (A)</v>
      </c>
      <c r="E96" s="12" t="str">
        <f>Spieltag!C83</f>
        <v>Mittelfeld</v>
      </c>
      <c r="F96" s="13" t="s">
        <v>134</v>
      </c>
      <c r="G96" s="14"/>
      <c r="H96" s="15">
        <f t="shared" si="235"/>
        <v>0</v>
      </c>
      <c r="I96" s="14"/>
      <c r="J96" s="15">
        <f t="shared" si="236"/>
        <v>0</v>
      </c>
      <c r="K96" s="14"/>
      <c r="L96" s="15">
        <f t="shared" si="237"/>
        <v>0</v>
      </c>
      <c r="M96" s="14"/>
      <c r="N96" s="15">
        <f t="shared" si="238"/>
        <v>0</v>
      </c>
      <c r="O96" s="16">
        <f t="shared" si="180"/>
        <v>0</v>
      </c>
      <c r="P96" s="16">
        <f t="shared" si="181"/>
        <v>20</v>
      </c>
      <c r="Q96" s="16">
        <f t="shared" si="230"/>
        <v>-30</v>
      </c>
      <c r="R96" s="14"/>
      <c r="S96" s="15">
        <f t="shared" si="239"/>
        <v>0</v>
      </c>
      <c r="T96" s="14"/>
      <c r="U96" s="15">
        <f t="shared" si="240"/>
        <v>0</v>
      </c>
      <c r="V96" s="16">
        <f t="shared" si="241"/>
        <v>0</v>
      </c>
      <c r="W96" s="17">
        <f t="shared" si="242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26</v>
      </c>
      <c r="D97" s="21" t="str">
        <f>Spieltag!B84</f>
        <v>Ilaix Moriba (A)</v>
      </c>
      <c r="E97" s="12" t="str">
        <f>Spieltag!C84</f>
        <v>Mittelfeld</v>
      </c>
      <c r="F97" s="13" t="s">
        <v>134</v>
      </c>
      <c r="G97" s="14"/>
      <c r="H97" s="15">
        <f t="shared" si="235"/>
        <v>0</v>
      </c>
      <c r="I97" s="14"/>
      <c r="J97" s="15">
        <f t="shared" si="236"/>
        <v>0</v>
      </c>
      <c r="K97" s="14"/>
      <c r="L97" s="15">
        <f t="shared" si="237"/>
        <v>0</v>
      </c>
      <c r="M97" s="14"/>
      <c r="N97" s="15">
        <f t="shared" si="238"/>
        <v>0</v>
      </c>
      <c r="O97" s="16">
        <f t="shared" si="180"/>
        <v>0</v>
      </c>
      <c r="P97" s="16">
        <f t="shared" si="181"/>
        <v>20</v>
      </c>
      <c r="Q97" s="16">
        <f t="shared" si="230"/>
        <v>-30</v>
      </c>
      <c r="R97" s="14"/>
      <c r="S97" s="15">
        <f t="shared" si="239"/>
        <v>0</v>
      </c>
      <c r="T97" s="14"/>
      <c r="U97" s="15">
        <f t="shared" si="240"/>
        <v>0</v>
      </c>
      <c r="V97" s="16">
        <f t="shared" si="241"/>
        <v>0</v>
      </c>
      <c r="W97" s="17">
        <f t="shared" si="242"/>
        <v>0</v>
      </c>
    </row>
    <row r="98" spans="1:23" ht="10.5" hidden="1" customHeight="1" x14ac:dyDescent="0.2">
      <c r="A98" s="11"/>
      <c r="B98" s="149">
        <f>COUNTA(Spieltag!K85:AA85)</f>
        <v>0</v>
      </c>
      <c r="C98" s="166">
        <f>Spieltag!A85</f>
        <v>28</v>
      </c>
      <c r="D98" s="21" t="str">
        <f>Spieltag!B85</f>
        <v>Caden Clark (A)</v>
      </c>
      <c r="E98" s="12" t="str">
        <f>Spieltag!C85</f>
        <v>Mittelfeld</v>
      </c>
      <c r="F98" s="13" t="s">
        <v>134</v>
      </c>
      <c r="G98" s="14"/>
      <c r="H98" s="15">
        <f t="shared" si="235"/>
        <v>0</v>
      </c>
      <c r="I98" s="14"/>
      <c r="J98" s="15">
        <f t="shared" si="236"/>
        <v>0</v>
      </c>
      <c r="K98" s="14"/>
      <c r="L98" s="15">
        <f t="shared" si="237"/>
        <v>0</v>
      </c>
      <c r="M98" s="14"/>
      <c r="N98" s="15">
        <f t="shared" si="238"/>
        <v>0</v>
      </c>
      <c r="O98" s="16">
        <f t="shared" si="180"/>
        <v>0</v>
      </c>
      <c r="P98" s="16">
        <f t="shared" si="181"/>
        <v>20</v>
      </c>
      <c r="Q98" s="16">
        <f t="shared" si="230"/>
        <v>-30</v>
      </c>
      <c r="R98" s="14"/>
      <c r="S98" s="15">
        <f t="shared" si="239"/>
        <v>0</v>
      </c>
      <c r="T98" s="14"/>
      <c r="U98" s="15">
        <f t="shared" si="240"/>
        <v>0</v>
      </c>
      <c r="V98" s="16">
        <f t="shared" si="241"/>
        <v>0</v>
      </c>
      <c r="W98" s="17">
        <f t="shared" si="242"/>
        <v>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44</v>
      </c>
      <c r="D99" s="21" t="str">
        <f>Spieltag!B86</f>
        <v>Kevin Kampl (A)</v>
      </c>
      <c r="E99" s="12" t="str">
        <f>Spieltag!C86</f>
        <v>Mittelfeld</v>
      </c>
      <c r="F99" s="13" t="s">
        <v>134</v>
      </c>
      <c r="G99" s="14"/>
      <c r="H99" s="15">
        <f t="shared" si="235"/>
        <v>0</v>
      </c>
      <c r="I99" s="14"/>
      <c r="J99" s="15">
        <f t="shared" si="236"/>
        <v>0</v>
      </c>
      <c r="K99" s="14"/>
      <c r="L99" s="15">
        <f t="shared" si="237"/>
        <v>0</v>
      </c>
      <c r="M99" s="14"/>
      <c r="N99" s="15">
        <f t="shared" si="238"/>
        <v>0</v>
      </c>
      <c r="O99" s="16">
        <f t="shared" si="180"/>
        <v>0</v>
      </c>
      <c r="P99" s="16">
        <f t="shared" si="181"/>
        <v>20</v>
      </c>
      <c r="Q99" s="16">
        <f t="shared" si="230"/>
        <v>-30</v>
      </c>
      <c r="R99" s="14"/>
      <c r="S99" s="15">
        <f t="shared" si="239"/>
        <v>0</v>
      </c>
      <c r="T99" s="14"/>
      <c r="U99" s="15">
        <f t="shared" si="240"/>
        <v>0</v>
      </c>
      <c r="V99" s="16">
        <f t="shared" si="241"/>
        <v>0</v>
      </c>
      <c r="W99" s="17">
        <f t="shared" si="242"/>
        <v>0</v>
      </c>
    </row>
    <row r="100" spans="1:23" ht="10.5" hidden="1" customHeight="1" x14ac:dyDescent="0.2">
      <c r="A100" s="11" t="s">
        <v>159</v>
      </c>
      <c r="B100" s="149">
        <f>COUNTA(Spieltag!K87:AA87)</f>
        <v>0</v>
      </c>
      <c r="C100" s="166">
        <f>Spieltag!A87</f>
        <v>9</v>
      </c>
      <c r="D100" s="21" t="str">
        <f>Spieltag!B87</f>
        <v>Yussuf Poulsen (A)</v>
      </c>
      <c r="E100" s="12" t="str">
        <f>Spieltag!C87</f>
        <v>Sturm</v>
      </c>
      <c r="F100" s="13" t="s">
        <v>134</v>
      </c>
      <c r="G100" s="14"/>
      <c r="H100" s="15">
        <f>IF(G100="x",10,0)</f>
        <v>0</v>
      </c>
      <c r="I100" s="14"/>
      <c r="J100" s="15">
        <f>IF((I100="x"),-10,0)</f>
        <v>0</v>
      </c>
      <c r="K100" s="14"/>
      <c r="L100" s="15">
        <f>IF((K100="x"),-20,0)</f>
        <v>0</v>
      </c>
      <c r="M100" s="14"/>
      <c r="N100" s="15">
        <f>IF((M100="x"),-30,0)</f>
        <v>0</v>
      </c>
      <c r="O100" s="16">
        <f>IF(AND($P$8&gt;$Q$8),20,IF($P$8=$Q$8,10,0))</f>
        <v>0</v>
      </c>
      <c r="P100" s="16">
        <f>IF(($P$8&lt;&gt;0),$P$8*10,-5)</f>
        <v>20</v>
      </c>
      <c r="Q100" s="16">
        <f>IF(($Q$8&lt;&gt;0),$Q$8*-10,5)</f>
        <v>-30</v>
      </c>
      <c r="R100" s="14"/>
      <c r="S100" s="15">
        <f>R100*10</f>
        <v>0</v>
      </c>
      <c r="T100" s="14"/>
      <c r="U100" s="15">
        <f>T100*-15</f>
        <v>0</v>
      </c>
      <c r="V100" s="16">
        <f>IF(AND(R100=2),10,IF(R100=3,30,IF(R100=4,50,IF(R100=5,70,0))))</f>
        <v>0</v>
      </c>
      <c r="W100" s="17">
        <f>IF(G100="x",H100+J100+L100+N100+O100+P100+Q100+S100+U100+V100,0)</f>
        <v>0</v>
      </c>
    </row>
    <row r="101" spans="1:23" ht="10.5" hidden="1" customHeight="1" x14ac:dyDescent="0.2">
      <c r="A101" s="11" t="s">
        <v>159</v>
      </c>
      <c r="B101" s="149">
        <f>COUNTA(Spieltag!K88:AA88)</f>
        <v>0</v>
      </c>
      <c r="C101" s="166">
        <f>Spieltag!A88</f>
        <v>11</v>
      </c>
      <c r="D101" s="21" t="str">
        <f>Spieltag!B88</f>
        <v>Timo Werner</v>
      </c>
      <c r="E101" s="12" t="str">
        <f>Spieltag!C88</f>
        <v>Sturm</v>
      </c>
      <c r="F101" s="13" t="s">
        <v>134</v>
      </c>
      <c r="G101" s="14"/>
      <c r="H101" s="15">
        <f t="shared" ref="H101:H104" si="243">IF(G101="x",10,0)</f>
        <v>0</v>
      </c>
      <c r="I101" s="14"/>
      <c r="J101" s="15">
        <f t="shared" ref="J101:J104" si="244">IF((I101="x"),-10,0)</f>
        <v>0</v>
      </c>
      <c r="K101" s="14"/>
      <c r="L101" s="15">
        <f t="shared" ref="L101:L104" si="245">IF((K101="x"),-20,0)</f>
        <v>0</v>
      </c>
      <c r="M101" s="14"/>
      <c r="N101" s="15">
        <f t="shared" ref="N101:N104" si="246">IF((M101="x"),-30,0)</f>
        <v>0</v>
      </c>
      <c r="O101" s="16">
        <f t="shared" ref="O101:O104" si="247">IF(AND($P$8&gt;$Q$8),20,IF($P$8=$Q$8,10,0))</f>
        <v>0</v>
      </c>
      <c r="P101" s="16">
        <f t="shared" ref="P101:P104" si="248">IF(($P$8&lt;&gt;0),$P$8*10,-5)</f>
        <v>20</v>
      </c>
      <c r="Q101" s="16">
        <f t="shared" ref="Q101:Q104" si="249">IF(($Q$8&lt;&gt;0),$Q$8*-10,5)</f>
        <v>-30</v>
      </c>
      <c r="R101" s="14"/>
      <c r="S101" s="15">
        <f t="shared" ref="S101:S104" si="250">R101*10</f>
        <v>0</v>
      </c>
      <c r="T101" s="14"/>
      <c r="U101" s="15">
        <f t="shared" ref="U101:U104" si="251">T101*-15</f>
        <v>0</v>
      </c>
      <c r="V101" s="16">
        <f t="shared" ref="V101:V104" si="252">IF(AND(R101=2),10,IF(R101=3,30,IF(R101=4,50,IF(R101=5,70,0))))</f>
        <v>0</v>
      </c>
      <c r="W101" s="17">
        <f t="shared" ref="W101:W104" si="253">IF(G101="x",H101+J101+L101+N101+O101+P101+Q101+S101+U101+V101,0)</f>
        <v>0</v>
      </c>
    </row>
    <row r="102" spans="1:23" ht="10.5" customHeight="1" x14ac:dyDescent="0.2">
      <c r="A102" s="11" t="s">
        <v>159</v>
      </c>
      <c r="B102" s="149">
        <f>COUNTA(Spieltag!K89:AA89)</f>
        <v>2</v>
      </c>
      <c r="C102" s="166">
        <f>Spieltag!A89</f>
        <v>17</v>
      </c>
      <c r="D102" s="21" t="str">
        <f>Spieltag!B89</f>
        <v>Lois Openda (A)</v>
      </c>
      <c r="E102" s="12" t="str">
        <f>Spieltag!C89</f>
        <v>Sturm</v>
      </c>
      <c r="F102" s="13" t="s">
        <v>134</v>
      </c>
      <c r="G102" s="14" t="s">
        <v>676</v>
      </c>
      <c r="H102" s="15">
        <f t="shared" si="243"/>
        <v>10</v>
      </c>
      <c r="I102" s="14"/>
      <c r="J102" s="15">
        <f t="shared" si="244"/>
        <v>0</v>
      </c>
      <c r="K102" s="14"/>
      <c r="L102" s="15">
        <f t="shared" si="245"/>
        <v>0</v>
      </c>
      <c r="M102" s="14"/>
      <c r="N102" s="15">
        <f t="shared" si="246"/>
        <v>0</v>
      </c>
      <c r="O102" s="16">
        <f t="shared" si="247"/>
        <v>0</v>
      </c>
      <c r="P102" s="16">
        <f t="shared" si="248"/>
        <v>20</v>
      </c>
      <c r="Q102" s="16">
        <f t="shared" si="249"/>
        <v>-30</v>
      </c>
      <c r="R102" s="14">
        <v>1</v>
      </c>
      <c r="S102" s="15">
        <f t="shared" si="250"/>
        <v>10</v>
      </c>
      <c r="T102" s="14"/>
      <c r="U102" s="15">
        <f t="shared" si="251"/>
        <v>0</v>
      </c>
      <c r="V102" s="16">
        <f t="shared" si="252"/>
        <v>0</v>
      </c>
      <c r="W102" s="17">
        <f t="shared" si="253"/>
        <v>10</v>
      </c>
    </row>
    <row r="103" spans="1:23" ht="10.5" hidden="1" customHeight="1" x14ac:dyDescent="0.2">
      <c r="A103" s="11" t="s">
        <v>159</v>
      </c>
      <c r="B103" s="149">
        <f>COUNTA(Spieltag!K90:AA90)</f>
        <v>0</v>
      </c>
      <c r="C103" s="166">
        <f>Spieltag!A90</f>
        <v>30</v>
      </c>
      <c r="D103" s="21" t="str">
        <f>Spieltag!B90</f>
        <v>Benjamin Sesko (A)</v>
      </c>
      <c r="E103" s="12" t="str">
        <f>Spieltag!C90</f>
        <v>Sturm</v>
      </c>
      <c r="F103" s="13" t="s">
        <v>134</v>
      </c>
      <c r="G103" s="14"/>
      <c r="H103" s="15">
        <f t="shared" si="243"/>
        <v>0</v>
      </c>
      <c r="I103" s="14"/>
      <c r="J103" s="15">
        <f t="shared" si="244"/>
        <v>0</v>
      </c>
      <c r="K103" s="14"/>
      <c r="L103" s="15">
        <f t="shared" si="245"/>
        <v>0</v>
      </c>
      <c r="M103" s="14"/>
      <c r="N103" s="15">
        <f t="shared" si="246"/>
        <v>0</v>
      </c>
      <c r="O103" s="16">
        <f t="shared" si="247"/>
        <v>0</v>
      </c>
      <c r="P103" s="16">
        <f t="shared" si="248"/>
        <v>20</v>
      </c>
      <c r="Q103" s="16">
        <f t="shared" si="249"/>
        <v>-30</v>
      </c>
      <c r="R103" s="14"/>
      <c r="S103" s="15">
        <f t="shared" si="250"/>
        <v>0</v>
      </c>
      <c r="T103" s="14"/>
      <c r="U103" s="15">
        <f t="shared" si="251"/>
        <v>0</v>
      </c>
      <c r="V103" s="16">
        <f t="shared" si="252"/>
        <v>0</v>
      </c>
      <c r="W103" s="17">
        <f t="shared" si="253"/>
        <v>0</v>
      </c>
    </row>
    <row r="104" spans="1:23" ht="10.5" hidden="1" customHeight="1" x14ac:dyDescent="0.2">
      <c r="A104" s="11" t="s">
        <v>159</v>
      </c>
      <c r="B104" s="149">
        <f>COUNTA(Spieltag!K91:AA91)</f>
        <v>0</v>
      </c>
      <c r="C104" s="166">
        <f>Spieltag!A91</f>
        <v>38</v>
      </c>
      <c r="D104" s="21" t="str">
        <f>Spieltag!B91</f>
        <v>Hugo Novoa (A)</v>
      </c>
      <c r="E104" s="12" t="str">
        <f>Spieltag!C91</f>
        <v>Sturm</v>
      </c>
      <c r="F104" s="13" t="s">
        <v>134</v>
      </c>
      <c r="G104" s="14"/>
      <c r="H104" s="15">
        <f t="shared" si="243"/>
        <v>0</v>
      </c>
      <c r="I104" s="14"/>
      <c r="J104" s="15">
        <f t="shared" si="244"/>
        <v>0</v>
      </c>
      <c r="K104" s="14"/>
      <c r="L104" s="15">
        <f t="shared" si="245"/>
        <v>0</v>
      </c>
      <c r="M104" s="14"/>
      <c r="N104" s="15">
        <f t="shared" si="246"/>
        <v>0</v>
      </c>
      <c r="O104" s="16">
        <f t="shared" si="247"/>
        <v>0</v>
      </c>
      <c r="P104" s="16">
        <f t="shared" si="248"/>
        <v>20</v>
      </c>
      <c r="Q104" s="16">
        <f t="shared" si="249"/>
        <v>-30</v>
      </c>
      <c r="R104" s="14"/>
      <c r="S104" s="15">
        <f t="shared" si="250"/>
        <v>0</v>
      </c>
      <c r="T104" s="14"/>
      <c r="U104" s="15">
        <f t="shared" si="251"/>
        <v>0</v>
      </c>
      <c r="V104" s="16">
        <f t="shared" si="252"/>
        <v>0</v>
      </c>
      <c r="W104" s="17">
        <f t="shared" si="253"/>
        <v>0</v>
      </c>
    </row>
    <row r="105" spans="1:23" s="144" customFormat="1" ht="17.25" thickBot="1" x14ac:dyDescent="0.25">
      <c r="A105" s="142"/>
      <c r="B105" s="143">
        <f>SUM(A106:B137)</f>
        <v>10</v>
      </c>
      <c r="C105" s="158"/>
      <c r="D105" s="221" t="s">
        <v>184</v>
      </c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2"/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1</v>
      </c>
      <c r="D106" s="21" t="str">
        <f>Spieltag!B93</f>
        <v>Frederik Rönnow (A)</v>
      </c>
      <c r="E106" s="151" t="str">
        <f>Spieltag!C93</f>
        <v>Torwart</v>
      </c>
      <c r="F106" s="152" t="s">
        <v>185</v>
      </c>
      <c r="G106" s="153"/>
      <c r="H106" s="154">
        <f>IF(G106="x",10,0)</f>
        <v>0</v>
      </c>
      <c r="I106" s="153"/>
      <c r="J106" s="154">
        <f>IF((I106="x"),-10,0)</f>
        <v>0</v>
      </c>
      <c r="K106" s="153"/>
      <c r="L106" s="154">
        <f>IF((K106="x"),-20,0)</f>
        <v>0</v>
      </c>
      <c r="M106" s="153"/>
      <c r="N106" s="154">
        <f>IF((M106="x"),-30,0)</f>
        <v>0</v>
      </c>
      <c r="O106" s="155">
        <f t="shared" ref="O106:O137" si="254">IF(AND($V$4&gt;$W$4),20,IF($V$4=$W$4,10,0))</f>
        <v>20</v>
      </c>
      <c r="P106" s="155">
        <f t="shared" ref="P106:P137" si="255">IF(($V$4&lt;&gt;0),$V$4*10,-5)</f>
        <v>40</v>
      </c>
      <c r="Q106" s="155">
        <f>IF(($W$4&lt;&gt;0),$W$4*-10,20)</f>
        <v>-10</v>
      </c>
      <c r="R106" s="153"/>
      <c r="S106" s="154">
        <f>R106*20</f>
        <v>0</v>
      </c>
      <c r="T106" s="153"/>
      <c r="U106" s="154">
        <f>T106*-15</f>
        <v>0</v>
      </c>
      <c r="V106" s="155">
        <f>IF(AND(R106=2),10,IF(R106=3,30,IF(R106=4,50,IF(R106=5,70,0))))</f>
        <v>0</v>
      </c>
      <c r="W106" s="156">
        <f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12</v>
      </c>
      <c r="D107" s="21" t="str">
        <f>Spieltag!B94</f>
        <v>Jakob Busk (A)</v>
      </c>
      <c r="E107" s="151" t="str">
        <f>Spieltag!C94</f>
        <v>Torwart</v>
      </c>
      <c r="F107" s="152" t="s">
        <v>185</v>
      </c>
      <c r="G107" s="153"/>
      <c r="H107" s="154">
        <f t="shared" ref="H107:H109" si="256">IF(G107="x",10,0)</f>
        <v>0</v>
      </c>
      <c r="I107" s="153"/>
      <c r="J107" s="154">
        <f t="shared" ref="J107:J109" si="257">IF((I107="x"),-10,0)</f>
        <v>0</v>
      </c>
      <c r="K107" s="153"/>
      <c r="L107" s="154">
        <f t="shared" ref="L107:L109" si="258">IF((K107="x"),-20,0)</f>
        <v>0</v>
      </c>
      <c r="M107" s="153"/>
      <c r="N107" s="154">
        <f t="shared" ref="N107:N109" si="259">IF((M107="x"),-30,0)</f>
        <v>0</v>
      </c>
      <c r="O107" s="155">
        <f t="shared" si="254"/>
        <v>20</v>
      </c>
      <c r="P107" s="155">
        <f t="shared" si="255"/>
        <v>40</v>
      </c>
      <c r="Q107" s="155">
        <f t="shared" ref="Q107:Q109" si="260">IF(($W$4&lt;&gt;0),$W$4*-10,20)</f>
        <v>-10</v>
      </c>
      <c r="R107" s="153"/>
      <c r="S107" s="154">
        <f t="shared" ref="S107:S109" si="261">R107*20</f>
        <v>0</v>
      </c>
      <c r="T107" s="153"/>
      <c r="U107" s="154">
        <f t="shared" ref="U107:U109" si="262">T107*-15</f>
        <v>0</v>
      </c>
      <c r="V107" s="155">
        <f t="shared" ref="V107:V109" si="263">IF(AND(R107=2),10,IF(R107=3,30,IF(R107=4,50,IF(R107=5,70,0))))</f>
        <v>0</v>
      </c>
      <c r="W107" s="156">
        <f t="shared" ref="W107:W109" si="264">IF(G107="x",H107+J107+L107+N107+O107+P107+Q107+S107+U107+V107,0)</f>
        <v>0</v>
      </c>
    </row>
    <row r="108" spans="1:23" ht="10.5" hidden="1" customHeight="1" x14ac:dyDescent="0.2">
      <c r="A108" s="11"/>
      <c r="B108" s="150">
        <f>COUNTA(Spieltag!K95:AA95)</f>
        <v>0</v>
      </c>
      <c r="C108" s="166">
        <f>Spieltag!A95</f>
        <v>37</v>
      </c>
      <c r="D108" s="21" t="str">
        <f>Spieltag!B95</f>
        <v>Alexander Schwolow</v>
      </c>
      <c r="E108" s="151" t="str">
        <f>Spieltag!C95</f>
        <v>Torwart</v>
      </c>
      <c r="F108" s="152" t="s">
        <v>185</v>
      </c>
      <c r="G108" s="153"/>
      <c r="H108" s="154">
        <f t="shared" ref="H108" si="265">IF(G108="x",10,0)</f>
        <v>0</v>
      </c>
      <c r="I108" s="153"/>
      <c r="J108" s="154">
        <f t="shared" ref="J108" si="266">IF((I108="x"),-10,0)</f>
        <v>0</v>
      </c>
      <c r="K108" s="153"/>
      <c r="L108" s="154">
        <f t="shared" ref="L108" si="267">IF((K108="x"),-20,0)</f>
        <v>0</v>
      </c>
      <c r="M108" s="153"/>
      <c r="N108" s="154">
        <f t="shared" ref="N108" si="268">IF((M108="x"),-30,0)</f>
        <v>0</v>
      </c>
      <c r="O108" s="155">
        <f t="shared" si="254"/>
        <v>20</v>
      </c>
      <c r="P108" s="155">
        <f t="shared" si="255"/>
        <v>40</v>
      </c>
      <c r="Q108" s="155">
        <f t="shared" si="260"/>
        <v>-10</v>
      </c>
      <c r="R108" s="153"/>
      <c r="S108" s="154">
        <f t="shared" ref="S108" si="269">R108*20</f>
        <v>0</v>
      </c>
      <c r="T108" s="153"/>
      <c r="U108" s="154">
        <f t="shared" ref="U108" si="270">T108*-15</f>
        <v>0</v>
      </c>
      <c r="V108" s="155">
        <f t="shared" ref="V108" si="271">IF(AND(R108=2),10,IF(R108=3,30,IF(R108=4,50,IF(R108=5,70,0))))</f>
        <v>0</v>
      </c>
      <c r="W108" s="156">
        <f t="shared" ref="W108" si="272">IF(G108="x",H108+J108+L108+N108+O108+P108+Q108+S108+U108+V108,0)</f>
        <v>0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39</v>
      </c>
      <c r="D109" s="21" t="str">
        <f>Spieltag!B96</f>
        <v>Yannic Stein</v>
      </c>
      <c r="E109" s="151" t="str">
        <f>Spieltag!C96</f>
        <v>Torwart</v>
      </c>
      <c r="F109" s="152" t="s">
        <v>185</v>
      </c>
      <c r="G109" s="153"/>
      <c r="H109" s="154">
        <f t="shared" si="256"/>
        <v>0</v>
      </c>
      <c r="I109" s="153"/>
      <c r="J109" s="154">
        <f t="shared" si="257"/>
        <v>0</v>
      </c>
      <c r="K109" s="153"/>
      <c r="L109" s="154">
        <f t="shared" si="258"/>
        <v>0</v>
      </c>
      <c r="M109" s="153"/>
      <c r="N109" s="154">
        <f t="shared" si="259"/>
        <v>0</v>
      </c>
      <c r="O109" s="155">
        <f t="shared" si="254"/>
        <v>20</v>
      </c>
      <c r="P109" s="155">
        <f t="shared" si="255"/>
        <v>40</v>
      </c>
      <c r="Q109" s="155">
        <f t="shared" si="260"/>
        <v>-10</v>
      </c>
      <c r="R109" s="153"/>
      <c r="S109" s="154">
        <f t="shared" si="261"/>
        <v>0</v>
      </c>
      <c r="T109" s="153"/>
      <c r="U109" s="154">
        <f t="shared" si="262"/>
        <v>0</v>
      </c>
      <c r="V109" s="155">
        <f t="shared" si="263"/>
        <v>0</v>
      </c>
      <c r="W109" s="156">
        <f t="shared" si="264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3</v>
      </c>
      <c r="D110" s="21" t="str">
        <f>Spieltag!B97</f>
        <v>Paul Jaeckel</v>
      </c>
      <c r="E110" s="151" t="str">
        <f>Spieltag!C97</f>
        <v>Abwehr</v>
      </c>
      <c r="F110" s="152" t="s">
        <v>185</v>
      </c>
      <c r="G110" s="153"/>
      <c r="H110" s="154">
        <f t="shared" ref="H110" si="273">IF(G110="x",10,0)</f>
        <v>0</v>
      </c>
      <c r="I110" s="153"/>
      <c r="J110" s="154">
        <f t="shared" ref="J110" si="274">IF((I110="x"),-10,0)</f>
        <v>0</v>
      </c>
      <c r="K110" s="153"/>
      <c r="L110" s="154">
        <f t="shared" ref="L110" si="275">IF((K110="x"),-20,0)</f>
        <v>0</v>
      </c>
      <c r="M110" s="153"/>
      <c r="N110" s="154">
        <f t="shared" ref="N110" si="276">IF((M110="x"),-30,0)</f>
        <v>0</v>
      </c>
      <c r="O110" s="155">
        <f t="shared" si="254"/>
        <v>20</v>
      </c>
      <c r="P110" s="155">
        <f t="shared" si="255"/>
        <v>40</v>
      </c>
      <c r="Q110" s="155">
        <f t="shared" ref="Q110:Q119" si="277">IF(($W$4&lt;&gt;0),$W$4*-10,15)</f>
        <v>-10</v>
      </c>
      <c r="R110" s="153"/>
      <c r="S110" s="154">
        <f t="shared" ref="S110" si="278">R110*15</f>
        <v>0</v>
      </c>
      <c r="T110" s="153"/>
      <c r="U110" s="154">
        <f t="shared" ref="U110" si="279">T110*-15</f>
        <v>0</v>
      </c>
      <c r="V110" s="155">
        <f t="shared" ref="V110" si="280">IF(AND(R110=2),10,IF(R110=3,30,IF(R110=4,50,IF(R110=5,70,0))))</f>
        <v>0</v>
      </c>
      <c r="W110" s="156">
        <f t="shared" ref="W110" si="281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4</v>
      </c>
      <c r="D111" s="21" t="str">
        <f>Spieltag!B98</f>
        <v>Diogo Leite (A)</v>
      </c>
      <c r="E111" s="151" t="str">
        <f>Spieltag!C98</f>
        <v>Abwehr</v>
      </c>
      <c r="F111" s="152" t="s">
        <v>185</v>
      </c>
      <c r="G111" s="153"/>
      <c r="H111" s="154">
        <f t="shared" ref="H111:H119" si="282">IF(G111="x",10,0)</f>
        <v>0</v>
      </c>
      <c r="I111" s="153"/>
      <c r="J111" s="154">
        <f t="shared" ref="J111:J119" si="283">IF((I111="x"),-10,0)</f>
        <v>0</v>
      </c>
      <c r="K111" s="153"/>
      <c r="L111" s="154">
        <f t="shared" ref="L111:L119" si="284">IF((K111="x"),-20,0)</f>
        <v>0</v>
      </c>
      <c r="M111" s="153"/>
      <c r="N111" s="154">
        <f t="shared" ref="N111:N119" si="285">IF((M111="x"),-30,0)</f>
        <v>0</v>
      </c>
      <c r="O111" s="155">
        <f t="shared" si="254"/>
        <v>20</v>
      </c>
      <c r="P111" s="155">
        <f t="shared" si="255"/>
        <v>40</v>
      </c>
      <c r="Q111" s="155">
        <f t="shared" si="277"/>
        <v>-10</v>
      </c>
      <c r="R111" s="153"/>
      <c r="S111" s="154">
        <f t="shared" ref="S111:S119" si="286">R111*15</f>
        <v>0</v>
      </c>
      <c r="T111" s="153"/>
      <c r="U111" s="154">
        <f t="shared" ref="U111:U119" si="287">T111*-15</f>
        <v>0</v>
      </c>
      <c r="V111" s="155">
        <f t="shared" ref="V111:V119" si="288">IF(AND(R111=2),10,IF(R111=3,30,IF(R111=4,50,IF(R111=5,70,0))))</f>
        <v>0</v>
      </c>
      <c r="W111" s="156">
        <f t="shared" ref="W111:W119" si="289"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5</v>
      </c>
      <c r="D112" s="21" t="str">
        <f>Spieltag!B99</f>
        <v>Danilho Doekhi (A)</v>
      </c>
      <c r="E112" s="151" t="str">
        <f>Spieltag!C99</f>
        <v>Abwehr</v>
      </c>
      <c r="F112" s="152" t="s">
        <v>185</v>
      </c>
      <c r="G112" s="153"/>
      <c r="H112" s="154">
        <f t="shared" si="282"/>
        <v>0</v>
      </c>
      <c r="I112" s="153"/>
      <c r="J112" s="154">
        <f t="shared" si="283"/>
        <v>0</v>
      </c>
      <c r="K112" s="153"/>
      <c r="L112" s="154">
        <f t="shared" si="284"/>
        <v>0</v>
      </c>
      <c r="M112" s="153"/>
      <c r="N112" s="154">
        <f t="shared" si="285"/>
        <v>0</v>
      </c>
      <c r="O112" s="155">
        <f t="shared" si="254"/>
        <v>20</v>
      </c>
      <c r="P112" s="155">
        <f t="shared" si="255"/>
        <v>40</v>
      </c>
      <c r="Q112" s="155">
        <f t="shared" si="277"/>
        <v>-10</v>
      </c>
      <c r="R112" s="153"/>
      <c r="S112" s="154">
        <f t="shared" si="286"/>
        <v>0</v>
      </c>
      <c r="T112" s="153"/>
      <c r="U112" s="154">
        <f t="shared" si="287"/>
        <v>0</v>
      </c>
      <c r="V112" s="155">
        <f t="shared" si="288"/>
        <v>0</v>
      </c>
      <c r="W112" s="156">
        <f t="shared" si="289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6</v>
      </c>
      <c r="D113" s="21" t="str">
        <f>Spieltag!B100</f>
        <v>Robin Gosens</v>
      </c>
      <c r="E113" s="151" t="str">
        <f>Spieltag!C100</f>
        <v>Abwehr</v>
      </c>
      <c r="F113" s="152" t="s">
        <v>185</v>
      </c>
      <c r="G113" s="153"/>
      <c r="H113" s="154">
        <f t="shared" ref="H113" si="290">IF(G113="x",10,0)</f>
        <v>0</v>
      </c>
      <c r="I113" s="153"/>
      <c r="J113" s="154">
        <f t="shared" ref="J113" si="291">IF((I113="x"),-10,0)</f>
        <v>0</v>
      </c>
      <c r="K113" s="153"/>
      <c r="L113" s="154">
        <f t="shared" ref="L113" si="292">IF((K113="x"),-20,0)</f>
        <v>0</v>
      </c>
      <c r="M113" s="153"/>
      <c r="N113" s="154">
        <f t="shared" ref="N113" si="293">IF((M113="x"),-30,0)</f>
        <v>0</v>
      </c>
      <c r="O113" s="155">
        <f t="shared" si="254"/>
        <v>20</v>
      </c>
      <c r="P113" s="155">
        <f t="shared" si="255"/>
        <v>40</v>
      </c>
      <c r="Q113" s="155">
        <f t="shared" si="277"/>
        <v>-10</v>
      </c>
      <c r="R113" s="153"/>
      <c r="S113" s="154">
        <f t="shared" ref="S113" si="294">R113*15</f>
        <v>0</v>
      </c>
      <c r="T113" s="153"/>
      <c r="U113" s="154">
        <f t="shared" ref="U113" si="295">T113*-15</f>
        <v>0</v>
      </c>
      <c r="V113" s="155">
        <f t="shared" ref="V113" si="296">IF(AND(R113=2),10,IF(R113=3,30,IF(R113=4,50,IF(R113=5,70,0))))</f>
        <v>0</v>
      </c>
      <c r="W113" s="156">
        <f t="shared" ref="W113" si="297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18</v>
      </c>
      <c r="D114" s="21" t="str">
        <f>Spieltag!B101</f>
        <v>Josip Juranovic (A)</v>
      </c>
      <c r="E114" s="151" t="str">
        <f>Spieltag!C101</f>
        <v>Abwehr</v>
      </c>
      <c r="F114" s="152" t="s">
        <v>185</v>
      </c>
      <c r="G114" s="153"/>
      <c r="H114" s="154">
        <f t="shared" si="282"/>
        <v>0</v>
      </c>
      <c r="I114" s="153"/>
      <c r="J114" s="154">
        <f t="shared" si="283"/>
        <v>0</v>
      </c>
      <c r="K114" s="153"/>
      <c r="L114" s="154">
        <f t="shared" si="284"/>
        <v>0</v>
      </c>
      <c r="M114" s="153"/>
      <c r="N114" s="154">
        <f t="shared" si="285"/>
        <v>0</v>
      </c>
      <c r="O114" s="155">
        <f t="shared" si="254"/>
        <v>20</v>
      </c>
      <c r="P114" s="155">
        <f t="shared" si="255"/>
        <v>40</v>
      </c>
      <c r="Q114" s="155">
        <f t="shared" si="277"/>
        <v>-10</v>
      </c>
      <c r="R114" s="153"/>
      <c r="S114" s="154">
        <f t="shared" si="286"/>
        <v>0</v>
      </c>
      <c r="T114" s="153"/>
      <c r="U114" s="154">
        <f t="shared" si="287"/>
        <v>0</v>
      </c>
      <c r="V114" s="155">
        <f t="shared" si="288"/>
        <v>0</v>
      </c>
      <c r="W114" s="156">
        <f t="shared" si="289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26</v>
      </c>
      <c r="D115" s="21" t="str">
        <f>Spieltag!B102</f>
        <v>Jerome Roussillon (A)</v>
      </c>
      <c r="E115" s="151" t="str">
        <f>Spieltag!C102</f>
        <v>Abwehr</v>
      </c>
      <c r="F115" s="152" t="s">
        <v>185</v>
      </c>
      <c r="G115" s="153"/>
      <c r="H115" s="154">
        <f t="shared" si="282"/>
        <v>0</v>
      </c>
      <c r="I115" s="153"/>
      <c r="J115" s="154">
        <f t="shared" si="283"/>
        <v>0</v>
      </c>
      <c r="K115" s="153"/>
      <c r="L115" s="154">
        <f t="shared" si="284"/>
        <v>0</v>
      </c>
      <c r="M115" s="153"/>
      <c r="N115" s="154">
        <f t="shared" si="285"/>
        <v>0</v>
      </c>
      <c r="O115" s="155">
        <f t="shared" si="254"/>
        <v>20</v>
      </c>
      <c r="P115" s="155">
        <f t="shared" si="255"/>
        <v>40</v>
      </c>
      <c r="Q115" s="155">
        <f t="shared" si="277"/>
        <v>-10</v>
      </c>
      <c r="R115" s="153"/>
      <c r="S115" s="154">
        <f t="shared" si="286"/>
        <v>0</v>
      </c>
      <c r="T115" s="153"/>
      <c r="U115" s="154">
        <f t="shared" si="287"/>
        <v>0</v>
      </c>
      <c r="V115" s="155">
        <f t="shared" si="288"/>
        <v>0</v>
      </c>
      <c r="W115" s="156">
        <f t="shared" si="289"/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28</v>
      </c>
      <c r="D116" s="21" t="str">
        <f>Spieltag!B103</f>
        <v>Christopher Trimmel (A)</v>
      </c>
      <c r="E116" s="151" t="str">
        <f>Spieltag!C103</f>
        <v>Abwehr</v>
      </c>
      <c r="F116" s="152" t="s">
        <v>185</v>
      </c>
      <c r="G116" s="153"/>
      <c r="H116" s="154">
        <f t="shared" si="282"/>
        <v>0</v>
      </c>
      <c r="I116" s="153"/>
      <c r="J116" s="154">
        <f t="shared" si="283"/>
        <v>0</v>
      </c>
      <c r="K116" s="153"/>
      <c r="L116" s="154">
        <f t="shared" si="284"/>
        <v>0</v>
      </c>
      <c r="M116" s="153"/>
      <c r="N116" s="154">
        <f t="shared" si="285"/>
        <v>0</v>
      </c>
      <c r="O116" s="155">
        <f t="shared" si="254"/>
        <v>20</v>
      </c>
      <c r="P116" s="155">
        <f t="shared" si="255"/>
        <v>40</v>
      </c>
      <c r="Q116" s="155">
        <f t="shared" si="277"/>
        <v>-10</v>
      </c>
      <c r="R116" s="153"/>
      <c r="S116" s="154">
        <f t="shared" si="286"/>
        <v>0</v>
      </c>
      <c r="T116" s="153"/>
      <c r="U116" s="154">
        <f t="shared" si="287"/>
        <v>0</v>
      </c>
      <c r="V116" s="155">
        <f t="shared" si="288"/>
        <v>0</v>
      </c>
      <c r="W116" s="156">
        <f t="shared" si="289"/>
        <v>0</v>
      </c>
    </row>
    <row r="117" spans="1:23" ht="10.5" customHeight="1" x14ac:dyDescent="0.2">
      <c r="A117" s="11"/>
      <c r="B117" s="150">
        <f>COUNTA(Spieltag!K104:AA104)</f>
        <v>4</v>
      </c>
      <c r="C117" s="166">
        <f>Spieltag!A104</f>
        <v>31</v>
      </c>
      <c r="D117" s="21" t="str">
        <f>Spieltag!B104</f>
        <v>Robin Knoche</v>
      </c>
      <c r="E117" s="151" t="str">
        <f>Spieltag!C104</f>
        <v>Abwehr</v>
      </c>
      <c r="F117" s="152" t="s">
        <v>185</v>
      </c>
      <c r="G117" s="153" t="s">
        <v>676</v>
      </c>
      <c r="H117" s="154">
        <f t="shared" si="282"/>
        <v>10</v>
      </c>
      <c r="I117" s="153"/>
      <c r="J117" s="154">
        <f t="shared" si="283"/>
        <v>0</v>
      </c>
      <c r="K117" s="153"/>
      <c r="L117" s="154">
        <f t="shared" si="284"/>
        <v>0</v>
      </c>
      <c r="M117" s="153"/>
      <c r="N117" s="154">
        <f t="shared" si="285"/>
        <v>0</v>
      </c>
      <c r="O117" s="155">
        <f t="shared" si="254"/>
        <v>20</v>
      </c>
      <c r="P117" s="155">
        <f t="shared" si="255"/>
        <v>40</v>
      </c>
      <c r="Q117" s="155">
        <f t="shared" si="277"/>
        <v>-10</v>
      </c>
      <c r="R117" s="153"/>
      <c r="S117" s="154">
        <f t="shared" si="286"/>
        <v>0</v>
      </c>
      <c r="T117" s="153"/>
      <c r="U117" s="154">
        <f t="shared" si="287"/>
        <v>0</v>
      </c>
      <c r="V117" s="155">
        <f t="shared" si="288"/>
        <v>0</v>
      </c>
      <c r="W117" s="156">
        <f t="shared" si="289"/>
        <v>60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33</v>
      </c>
      <c r="D118" s="21" t="str">
        <f>Spieltag!B105</f>
        <v>Dominique Heintz</v>
      </c>
      <c r="E118" s="151" t="str">
        <f>Spieltag!C105</f>
        <v>Abwehr</v>
      </c>
      <c r="F118" s="152" t="s">
        <v>185</v>
      </c>
      <c r="G118" s="153"/>
      <c r="H118" s="154">
        <f t="shared" si="282"/>
        <v>0</v>
      </c>
      <c r="I118" s="153"/>
      <c r="J118" s="154">
        <f t="shared" si="283"/>
        <v>0</v>
      </c>
      <c r="K118" s="153"/>
      <c r="L118" s="154">
        <f t="shared" si="284"/>
        <v>0</v>
      </c>
      <c r="M118" s="153"/>
      <c r="N118" s="154">
        <f t="shared" si="285"/>
        <v>0</v>
      </c>
      <c r="O118" s="155">
        <f t="shared" si="254"/>
        <v>20</v>
      </c>
      <c r="P118" s="155">
        <f t="shared" si="255"/>
        <v>40</v>
      </c>
      <c r="Q118" s="155">
        <f t="shared" si="277"/>
        <v>-10</v>
      </c>
      <c r="R118" s="153"/>
      <c r="S118" s="154">
        <f t="shared" si="286"/>
        <v>0</v>
      </c>
      <c r="T118" s="153"/>
      <c r="U118" s="154">
        <f t="shared" si="287"/>
        <v>0</v>
      </c>
      <c r="V118" s="155">
        <f t="shared" si="288"/>
        <v>0</v>
      </c>
      <c r="W118" s="156">
        <f t="shared" si="289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42</v>
      </c>
      <c r="D119" s="21" t="str">
        <f>Spieltag!B106</f>
        <v>Mathis Bruns</v>
      </c>
      <c r="E119" s="151" t="str">
        <f>Spieltag!C106</f>
        <v>Abwehr</v>
      </c>
      <c r="F119" s="152" t="s">
        <v>185</v>
      </c>
      <c r="G119" s="153"/>
      <c r="H119" s="154">
        <f t="shared" si="282"/>
        <v>0</v>
      </c>
      <c r="I119" s="153"/>
      <c r="J119" s="154">
        <f t="shared" si="283"/>
        <v>0</v>
      </c>
      <c r="K119" s="153"/>
      <c r="L119" s="154">
        <f t="shared" si="284"/>
        <v>0</v>
      </c>
      <c r="M119" s="153"/>
      <c r="N119" s="154">
        <f t="shared" si="285"/>
        <v>0</v>
      </c>
      <c r="O119" s="155">
        <f t="shared" si="254"/>
        <v>20</v>
      </c>
      <c r="P119" s="155">
        <f t="shared" si="255"/>
        <v>40</v>
      </c>
      <c r="Q119" s="155">
        <f t="shared" si="277"/>
        <v>-10</v>
      </c>
      <c r="R119" s="153"/>
      <c r="S119" s="154">
        <f t="shared" si="286"/>
        <v>0</v>
      </c>
      <c r="T119" s="153"/>
      <c r="U119" s="154">
        <f t="shared" si="287"/>
        <v>0</v>
      </c>
      <c r="V119" s="155">
        <f t="shared" si="288"/>
        <v>0</v>
      </c>
      <c r="W119" s="156">
        <f t="shared" si="289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7</v>
      </c>
      <c r="D120" s="21" t="str">
        <f>Spieltag!B107</f>
        <v>Brendon Aaronson (A)</v>
      </c>
      <c r="E120" s="151" t="str">
        <f>Spieltag!C107</f>
        <v>Mittelfeld</v>
      </c>
      <c r="F120" s="152" t="s">
        <v>185</v>
      </c>
      <c r="G120" s="153"/>
      <c r="H120" s="154">
        <f t="shared" ref="H120" si="298">IF(G120="x",10,0)</f>
        <v>0</v>
      </c>
      <c r="I120" s="153"/>
      <c r="J120" s="154">
        <f t="shared" ref="J120" si="299">IF((I120="x"),-10,0)</f>
        <v>0</v>
      </c>
      <c r="K120" s="153"/>
      <c r="L120" s="154">
        <f t="shared" ref="L120" si="300">IF((K120="x"),-20,0)</f>
        <v>0</v>
      </c>
      <c r="M120" s="153"/>
      <c r="N120" s="154">
        <f t="shared" ref="N120" si="301">IF((M120="x"),-30,0)</f>
        <v>0</v>
      </c>
      <c r="O120" s="155">
        <f t="shared" si="254"/>
        <v>20</v>
      </c>
      <c r="P120" s="155">
        <f t="shared" si="255"/>
        <v>40</v>
      </c>
      <c r="Q120" s="155">
        <f t="shared" ref="Q120:Q130" si="302">IF(($W$4&lt;&gt;0),$W$4*-10,10)</f>
        <v>-10</v>
      </c>
      <c r="R120" s="153"/>
      <c r="S120" s="154">
        <f t="shared" ref="S120" si="303">R120*10</f>
        <v>0</v>
      </c>
      <c r="T120" s="153"/>
      <c r="U120" s="154">
        <f t="shared" ref="U120" si="304">T120*-15</f>
        <v>0</v>
      </c>
      <c r="V120" s="155">
        <f t="shared" ref="V120" si="305">IF(AND(R120=2),10,IF(R120=3,30,IF(R120=4,50,IF(R120=5,70,0))))</f>
        <v>0</v>
      </c>
      <c r="W120" s="156">
        <f t="shared" ref="W120" si="306">IF(G120="x",H120+J120+L120+N120+O120+P120+Q120+S120+U120+V120,0)</f>
        <v>0</v>
      </c>
    </row>
    <row r="121" spans="1:23" ht="10.5" customHeight="1" x14ac:dyDescent="0.2">
      <c r="A121" s="11"/>
      <c r="B121" s="150">
        <f>COUNTA(Spieltag!K108:AA108)</f>
        <v>2</v>
      </c>
      <c r="C121" s="166">
        <f>Spieltag!A108</f>
        <v>8</v>
      </c>
      <c r="D121" s="21" t="str">
        <f>Spieltag!B108</f>
        <v>Rani Khedira</v>
      </c>
      <c r="E121" s="151" t="str">
        <f>Spieltag!C108</f>
        <v>Mittelfeld</v>
      </c>
      <c r="F121" s="152" t="s">
        <v>185</v>
      </c>
      <c r="G121" s="153" t="s">
        <v>59</v>
      </c>
      <c r="H121" s="154">
        <f t="shared" ref="H121:H130" si="307">IF(G121="x",10,0)</f>
        <v>0</v>
      </c>
      <c r="I121" s="153"/>
      <c r="J121" s="154">
        <f t="shared" ref="J121:J130" si="308">IF((I121="x"),-10,0)</f>
        <v>0</v>
      </c>
      <c r="K121" s="153"/>
      <c r="L121" s="154">
        <f t="shared" ref="L121:L130" si="309">IF((K121="x"),-20,0)</f>
        <v>0</v>
      </c>
      <c r="M121" s="153"/>
      <c r="N121" s="154">
        <f t="shared" ref="N121:N130" si="310">IF((M121="x"),-30,0)</f>
        <v>0</v>
      </c>
      <c r="O121" s="155">
        <f t="shared" si="254"/>
        <v>20</v>
      </c>
      <c r="P121" s="155">
        <f t="shared" si="255"/>
        <v>40</v>
      </c>
      <c r="Q121" s="155">
        <f t="shared" si="302"/>
        <v>-10</v>
      </c>
      <c r="R121" s="153"/>
      <c r="S121" s="154">
        <f t="shared" ref="S121:S130" si="311">R121*10</f>
        <v>0</v>
      </c>
      <c r="T121" s="153"/>
      <c r="U121" s="154">
        <f t="shared" ref="U121:U130" si="312">T121*-15</f>
        <v>0</v>
      </c>
      <c r="V121" s="155">
        <f t="shared" ref="V121:V130" si="313">IF(AND(R121=2),10,IF(R121=3,30,IF(R121=4,50,IF(R121=5,70,0))))</f>
        <v>0</v>
      </c>
      <c r="W121" s="156">
        <f t="shared" ref="W121:W130" si="314">IF(G121="x",H121+J121+L121+N121+O121+P121+Q121+S121+U121+V121,0)</f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13</v>
      </c>
      <c r="D122" s="21" t="str">
        <f>Spieltag!B109</f>
        <v>Andras Schäfer (A)</v>
      </c>
      <c r="E122" s="151" t="str">
        <f>Spieltag!C109</f>
        <v>Mittelfeld</v>
      </c>
      <c r="F122" s="152" t="s">
        <v>185</v>
      </c>
      <c r="G122" s="153"/>
      <c r="H122" s="154">
        <f t="shared" si="307"/>
        <v>0</v>
      </c>
      <c r="I122" s="153"/>
      <c r="J122" s="154">
        <f t="shared" si="308"/>
        <v>0</v>
      </c>
      <c r="K122" s="153"/>
      <c r="L122" s="154">
        <f t="shared" si="309"/>
        <v>0</v>
      </c>
      <c r="M122" s="153"/>
      <c r="N122" s="154">
        <f t="shared" si="310"/>
        <v>0</v>
      </c>
      <c r="O122" s="155">
        <f t="shared" si="254"/>
        <v>20</v>
      </c>
      <c r="P122" s="155">
        <f t="shared" si="255"/>
        <v>40</v>
      </c>
      <c r="Q122" s="155">
        <f t="shared" si="302"/>
        <v>-10</v>
      </c>
      <c r="R122" s="153"/>
      <c r="S122" s="154">
        <f t="shared" si="311"/>
        <v>0</v>
      </c>
      <c r="T122" s="153"/>
      <c r="U122" s="154">
        <f t="shared" si="312"/>
        <v>0</v>
      </c>
      <c r="V122" s="155">
        <f t="shared" si="313"/>
        <v>0</v>
      </c>
      <c r="W122" s="156">
        <f t="shared" si="314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19</v>
      </c>
      <c r="D123" s="21" t="str">
        <f>Spieltag!B110</f>
        <v>Janik Haberer</v>
      </c>
      <c r="E123" s="151" t="str">
        <f>Spieltag!C110</f>
        <v>Mittelfeld</v>
      </c>
      <c r="F123" s="152" t="s">
        <v>185</v>
      </c>
      <c r="G123" s="153"/>
      <c r="H123" s="154">
        <f t="shared" si="307"/>
        <v>0</v>
      </c>
      <c r="I123" s="153"/>
      <c r="J123" s="154">
        <f t="shared" si="308"/>
        <v>0</v>
      </c>
      <c r="K123" s="153"/>
      <c r="L123" s="154">
        <f t="shared" si="309"/>
        <v>0</v>
      </c>
      <c r="M123" s="153"/>
      <c r="N123" s="154">
        <f t="shared" si="310"/>
        <v>0</v>
      </c>
      <c r="O123" s="155">
        <f t="shared" si="254"/>
        <v>20</v>
      </c>
      <c r="P123" s="155">
        <f t="shared" si="255"/>
        <v>40</v>
      </c>
      <c r="Q123" s="155">
        <f t="shared" si="302"/>
        <v>-10</v>
      </c>
      <c r="R123" s="153"/>
      <c r="S123" s="154">
        <f t="shared" si="311"/>
        <v>0</v>
      </c>
      <c r="T123" s="153"/>
      <c r="U123" s="154">
        <f t="shared" si="312"/>
        <v>0</v>
      </c>
      <c r="V123" s="155">
        <f t="shared" si="313"/>
        <v>0</v>
      </c>
      <c r="W123" s="156">
        <f t="shared" si="314"/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20</v>
      </c>
      <c r="D124" s="21" t="str">
        <f>Spieltag!B111</f>
        <v>Aissa Laidouni (A)</v>
      </c>
      <c r="E124" s="151" t="str">
        <f>Spieltag!C111</f>
        <v>Mittelfeld</v>
      </c>
      <c r="F124" s="152" t="s">
        <v>185</v>
      </c>
      <c r="G124" s="153"/>
      <c r="H124" s="154">
        <f t="shared" si="307"/>
        <v>0</v>
      </c>
      <c r="I124" s="153"/>
      <c r="J124" s="154">
        <f t="shared" si="308"/>
        <v>0</v>
      </c>
      <c r="K124" s="153"/>
      <c r="L124" s="154">
        <f t="shared" si="309"/>
        <v>0</v>
      </c>
      <c r="M124" s="153"/>
      <c r="N124" s="154">
        <f t="shared" si="310"/>
        <v>0</v>
      </c>
      <c r="O124" s="155">
        <f t="shared" si="254"/>
        <v>20</v>
      </c>
      <c r="P124" s="155">
        <f t="shared" si="255"/>
        <v>40</v>
      </c>
      <c r="Q124" s="155">
        <f t="shared" si="302"/>
        <v>-10</v>
      </c>
      <c r="R124" s="153"/>
      <c r="S124" s="154">
        <f t="shared" si="311"/>
        <v>0</v>
      </c>
      <c r="T124" s="153"/>
      <c r="U124" s="154">
        <f t="shared" si="312"/>
        <v>0</v>
      </c>
      <c r="V124" s="155">
        <f t="shared" si="313"/>
        <v>0</v>
      </c>
      <c r="W124" s="156">
        <f t="shared" si="314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21</v>
      </c>
      <c r="D125" s="21" t="str">
        <f>Spieltag!B112</f>
        <v>Tim Skarke</v>
      </c>
      <c r="E125" s="151" t="str">
        <f>Spieltag!C112</f>
        <v>Mittelfeld</v>
      </c>
      <c r="F125" s="152" t="s">
        <v>185</v>
      </c>
      <c r="G125" s="153"/>
      <c r="H125" s="154">
        <f t="shared" si="307"/>
        <v>0</v>
      </c>
      <c r="I125" s="153"/>
      <c r="J125" s="154">
        <f t="shared" si="308"/>
        <v>0</v>
      </c>
      <c r="K125" s="153"/>
      <c r="L125" s="154">
        <f t="shared" si="309"/>
        <v>0</v>
      </c>
      <c r="M125" s="153"/>
      <c r="N125" s="154">
        <f t="shared" si="310"/>
        <v>0</v>
      </c>
      <c r="O125" s="155">
        <f t="shared" si="254"/>
        <v>20</v>
      </c>
      <c r="P125" s="155">
        <f t="shared" si="255"/>
        <v>40</v>
      </c>
      <c r="Q125" s="155">
        <f t="shared" si="302"/>
        <v>-10</v>
      </c>
      <c r="R125" s="153"/>
      <c r="S125" s="154">
        <f t="shared" si="311"/>
        <v>0</v>
      </c>
      <c r="T125" s="153"/>
      <c r="U125" s="154">
        <f t="shared" si="312"/>
        <v>0</v>
      </c>
      <c r="V125" s="155">
        <f t="shared" si="313"/>
        <v>0</v>
      </c>
      <c r="W125" s="156">
        <f t="shared" si="314"/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29</v>
      </c>
      <c r="D126" s="21" t="str">
        <f>Spieltag!B113</f>
        <v>Lucas Tousart (A)</v>
      </c>
      <c r="E126" s="151" t="str">
        <f>Spieltag!C113</f>
        <v>Mittelfeld</v>
      </c>
      <c r="F126" s="152" t="s">
        <v>185</v>
      </c>
      <c r="G126" s="153"/>
      <c r="H126" s="154">
        <f t="shared" si="307"/>
        <v>0</v>
      </c>
      <c r="I126" s="153"/>
      <c r="J126" s="154">
        <f t="shared" si="308"/>
        <v>0</v>
      </c>
      <c r="K126" s="153"/>
      <c r="L126" s="154">
        <f t="shared" si="309"/>
        <v>0</v>
      </c>
      <c r="M126" s="153"/>
      <c r="N126" s="154">
        <f t="shared" si="310"/>
        <v>0</v>
      </c>
      <c r="O126" s="155">
        <f t="shared" si="254"/>
        <v>20</v>
      </c>
      <c r="P126" s="155">
        <f t="shared" si="255"/>
        <v>40</v>
      </c>
      <c r="Q126" s="155">
        <f t="shared" si="302"/>
        <v>-10</v>
      </c>
      <c r="R126" s="153"/>
      <c r="S126" s="154">
        <f t="shared" si="311"/>
        <v>0</v>
      </c>
      <c r="T126" s="153"/>
      <c r="U126" s="154">
        <f t="shared" si="312"/>
        <v>0</v>
      </c>
      <c r="V126" s="155">
        <f t="shared" si="313"/>
        <v>0</v>
      </c>
      <c r="W126" s="156">
        <f t="shared" si="314"/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32</v>
      </c>
      <c r="D127" s="21" t="str">
        <f>Spieltag!B114</f>
        <v>Milos Pantovic (A)</v>
      </c>
      <c r="E127" s="151" t="str">
        <f>Spieltag!C114</f>
        <v>Mittelfeld</v>
      </c>
      <c r="F127" s="152" t="s">
        <v>185</v>
      </c>
      <c r="G127" s="153"/>
      <c r="H127" s="154">
        <f t="shared" si="307"/>
        <v>0</v>
      </c>
      <c r="I127" s="153"/>
      <c r="J127" s="154">
        <f t="shared" si="308"/>
        <v>0</v>
      </c>
      <c r="K127" s="153"/>
      <c r="L127" s="154">
        <f t="shared" si="309"/>
        <v>0</v>
      </c>
      <c r="M127" s="153"/>
      <c r="N127" s="154">
        <f t="shared" si="310"/>
        <v>0</v>
      </c>
      <c r="O127" s="155">
        <f t="shared" si="254"/>
        <v>20</v>
      </c>
      <c r="P127" s="155">
        <f t="shared" si="255"/>
        <v>40</v>
      </c>
      <c r="Q127" s="155">
        <f t="shared" si="302"/>
        <v>-10</v>
      </c>
      <c r="R127" s="153"/>
      <c r="S127" s="154">
        <f t="shared" si="311"/>
        <v>0</v>
      </c>
      <c r="T127" s="153"/>
      <c r="U127" s="154">
        <f t="shared" si="312"/>
        <v>0</v>
      </c>
      <c r="V127" s="155">
        <f t="shared" si="313"/>
        <v>0</v>
      </c>
      <c r="W127" s="156">
        <f t="shared" si="314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33</v>
      </c>
      <c r="D128" s="21" t="str">
        <f>Spieltag!B115</f>
        <v>Alex Kral (A)</v>
      </c>
      <c r="E128" s="151" t="str">
        <f>Spieltag!C115</f>
        <v>Mittelfeld</v>
      </c>
      <c r="F128" s="152" t="s">
        <v>185</v>
      </c>
      <c r="G128" s="153"/>
      <c r="H128" s="154">
        <f t="shared" si="307"/>
        <v>0</v>
      </c>
      <c r="I128" s="153"/>
      <c r="J128" s="154">
        <f t="shared" si="308"/>
        <v>0</v>
      </c>
      <c r="K128" s="153"/>
      <c r="L128" s="154">
        <f t="shared" si="309"/>
        <v>0</v>
      </c>
      <c r="M128" s="153"/>
      <c r="N128" s="154">
        <f t="shared" si="310"/>
        <v>0</v>
      </c>
      <c r="O128" s="155">
        <f t="shared" si="254"/>
        <v>20</v>
      </c>
      <c r="P128" s="155">
        <f t="shared" si="255"/>
        <v>40</v>
      </c>
      <c r="Q128" s="155">
        <f t="shared" si="302"/>
        <v>-10</v>
      </c>
      <c r="R128" s="153"/>
      <c r="S128" s="154">
        <f t="shared" si="311"/>
        <v>0</v>
      </c>
      <c r="T128" s="153"/>
      <c r="U128" s="154">
        <f t="shared" si="312"/>
        <v>0</v>
      </c>
      <c r="V128" s="155">
        <f t="shared" si="313"/>
        <v>0</v>
      </c>
      <c r="W128" s="156">
        <f t="shared" si="314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36</v>
      </c>
      <c r="D129" s="21" t="str">
        <f>Spieltag!B116</f>
        <v>Aljoscha Kemlein</v>
      </c>
      <c r="E129" s="151" t="str">
        <f>Spieltag!C116</f>
        <v>Mittelfeld</v>
      </c>
      <c r="F129" s="152" t="s">
        <v>185</v>
      </c>
      <c r="G129" s="153"/>
      <c r="H129" s="154">
        <f t="shared" si="307"/>
        <v>0</v>
      </c>
      <c r="I129" s="153"/>
      <c r="J129" s="154">
        <f t="shared" si="308"/>
        <v>0</v>
      </c>
      <c r="K129" s="153"/>
      <c r="L129" s="154">
        <f t="shared" si="309"/>
        <v>0</v>
      </c>
      <c r="M129" s="153"/>
      <c r="N129" s="154">
        <f t="shared" si="310"/>
        <v>0</v>
      </c>
      <c r="O129" s="155">
        <f t="shared" si="254"/>
        <v>20</v>
      </c>
      <c r="P129" s="155">
        <f t="shared" si="255"/>
        <v>40</v>
      </c>
      <c r="Q129" s="155">
        <f t="shared" si="302"/>
        <v>-10</v>
      </c>
      <c r="R129" s="153"/>
      <c r="S129" s="154">
        <f t="shared" si="311"/>
        <v>0</v>
      </c>
      <c r="T129" s="153"/>
      <c r="U129" s="154">
        <f t="shared" si="312"/>
        <v>0</v>
      </c>
      <c r="V129" s="155">
        <f t="shared" si="313"/>
        <v>0</v>
      </c>
      <c r="W129" s="156">
        <f t="shared" si="314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38</v>
      </c>
      <c r="D130" s="21" t="str">
        <f>Spieltag!B117</f>
        <v>Laurenz Dehl</v>
      </c>
      <c r="E130" s="151" t="str">
        <f>Spieltag!C117</f>
        <v>Mittelfeld</v>
      </c>
      <c r="F130" s="152" t="s">
        <v>185</v>
      </c>
      <c r="G130" s="153"/>
      <c r="H130" s="154">
        <f t="shared" si="307"/>
        <v>0</v>
      </c>
      <c r="I130" s="153"/>
      <c r="J130" s="154">
        <f t="shared" si="308"/>
        <v>0</v>
      </c>
      <c r="K130" s="153"/>
      <c r="L130" s="154">
        <f t="shared" si="309"/>
        <v>0</v>
      </c>
      <c r="M130" s="153"/>
      <c r="N130" s="154">
        <f t="shared" si="310"/>
        <v>0</v>
      </c>
      <c r="O130" s="155">
        <f t="shared" si="254"/>
        <v>20</v>
      </c>
      <c r="P130" s="155">
        <f t="shared" si="255"/>
        <v>40</v>
      </c>
      <c r="Q130" s="155">
        <f t="shared" si="302"/>
        <v>-10</v>
      </c>
      <c r="R130" s="153"/>
      <c r="S130" s="154">
        <f t="shared" si="311"/>
        <v>0</v>
      </c>
      <c r="T130" s="153"/>
      <c r="U130" s="154">
        <f t="shared" si="312"/>
        <v>0</v>
      </c>
      <c r="V130" s="155">
        <f t="shared" si="313"/>
        <v>0</v>
      </c>
      <c r="W130" s="156">
        <f t="shared" si="314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9</v>
      </c>
      <c r="D131" s="21" t="str">
        <f>Spieltag!B118</f>
        <v>Mikkel Kaufmann (A)</v>
      </c>
      <c r="E131" s="151" t="str">
        <f>Spieltag!C118</f>
        <v>Sturm</v>
      </c>
      <c r="F131" s="152" t="s">
        <v>185</v>
      </c>
      <c r="G131" s="153"/>
      <c r="H131" s="154">
        <f t="shared" ref="H131:H132" si="315">IF(G131="x",10,0)</f>
        <v>0</v>
      </c>
      <c r="I131" s="153"/>
      <c r="J131" s="154">
        <f t="shared" ref="J131:J132" si="316">IF((I131="x"),-10,0)</f>
        <v>0</v>
      </c>
      <c r="K131" s="153"/>
      <c r="L131" s="154">
        <f t="shared" ref="L131:L132" si="317">IF((K131="x"),-20,0)</f>
        <v>0</v>
      </c>
      <c r="M131" s="153"/>
      <c r="N131" s="154">
        <f t="shared" ref="N131:N132" si="318">IF((M131="x"),-30,0)</f>
        <v>0</v>
      </c>
      <c r="O131" s="155">
        <f t="shared" si="254"/>
        <v>20</v>
      </c>
      <c r="P131" s="155">
        <f t="shared" si="255"/>
        <v>40</v>
      </c>
      <c r="Q131" s="155">
        <f t="shared" ref="Q131:Q137" si="319">IF(($W$4&lt;&gt;0),$W$4*-10,5)</f>
        <v>-10</v>
      </c>
      <c r="R131" s="153"/>
      <c r="S131" s="154">
        <f t="shared" ref="S131:S132" si="320">R131*10</f>
        <v>0</v>
      </c>
      <c r="T131" s="153"/>
      <c r="U131" s="154">
        <f t="shared" ref="U131:U132" si="321">T131*-15</f>
        <v>0</v>
      </c>
      <c r="V131" s="155">
        <f t="shared" ref="V131:V132" si="322">IF(AND(R131=2),10,IF(R131=3,30,IF(R131=4,50,IF(R131=5,70,0))))</f>
        <v>0</v>
      </c>
      <c r="W131" s="156">
        <f t="shared" ref="W131:W132" si="323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10</v>
      </c>
      <c r="D132" s="21" t="str">
        <f>Spieltag!B119</f>
        <v>Kevin Volland</v>
      </c>
      <c r="E132" s="151" t="str">
        <f>Spieltag!C119</f>
        <v>Sturm</v>
      </c>
      <c r="F132" s="152" t="s">
        <v>185</v>
      </c>
      <c r="G132" s="153"/>
      <c r="H132" s="154">
        <f t="shared" si="315"/>
        <v>0</v>
      </c>
      <c r="I132" s="153"/>
      <c r="J132" s="154">
        <f t="shared" si="316"/>
        <v>0</v>
      </c>
      <c r="K132" s="153"/>
      <c r="L132" s="154">
        <f t="shared" si="317"/>
        <v>0</v>
      </c>
      <c r="M132" s="153"/>
      <c r="N132" s="154">
        <f t="shared" si="318"/>
        <v>0</v>
      </c>
      <c r="O132" s="155">
        <f t="shared" si="254"/>
        <v>20</v>
      </c>
      <c r="P132" s="155">
        <f t="shared" si="255"/>
        <v>40</v>
      </c>
      <c r="Q132" s="155">
        <f t="shared" si="319"/>
        <v>-10</v>
      </c>
      <c r="R132" s="153"/>
      <c r="S132" s="154">
        <f t="shared" si="320"/>
        <v>0</v>
      </c>
      <c r="T132" s="153"/>
      <c r="U132" s="154">
        <f t="shared" si="321"/>
        <v>0</v>
      </c>
      <c r="V132" s="155">
        <f t="shared" si="322"/>
        <v>0</v>
      </c>
      <c r="W132" s="156">
        <f t="shared" si="323"/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11</v>
      </c>
      <c r="D133" s="21" t="str">
        <f>Spieltag!B120</f>
        <v>David Datro Fofana (A)</v>
      </c>
      <c r="E133" s="151" t="str">
        <f>Spieltag!C120</f>
        <v>Sturm</v>
      </c>
      <c r="F133" s="152" t="s">
        <v>185</v>
      </c>
      <c r="G133" s="153"/>
      <c r="H133" s="154">
        <f t="shared" ref="H133:H137" si="324">IF(G133="x",10,0)</f>
        <v>0</v>
      </c>
      <c r="I133" s="153"/>
      <c r="J133" s="154">
        <f t="shared" ref="J133:J137" si="325">IF((I133="x"),-10,0)</f>
        <v>0</v>
      </c>
      <c r="K133" s="153"/>
      <c r="L133" s="154">
        <f t="shared" ref="L133:L137" si="326">IF((K133="x"),-20,0)</f>
        <v>0</v>
      </c>
      <c r="M133" s="153"/>
      <c r="N133" s="154">
        <f t="shared" ref="N133:N137" si="327">IF((M133="x"),-30,0)</f>
        <v>0</v>
      </c>
      <c r="O133" s="155">
        <f t="shared" si="254"/>
        <v>20</v>
      </c>
      <c r="P133" s="155">
        <f t="shared" si="255"/>
        <v>40</v>
      </c>
      <c r="Q133" s="155">
        <f t="shared" si="319"/>
        <v>-10</v>
      </c>
      <c r="R133" s="153"/>
      <c r="S133" s="154">
        <f t="shared" ref="S133:S137" si="328">R133*10</f>
        <v>0</v>
      </c>
      <c r="T133" s="153"/>
      <c r="U133" s="154">
        <f t="shared" ref="U133:U137" si="329">T133*-15</f>
        <v>0</v>
      </c>
      <c r="V133" s="155">
        <f t="shared" ref="V133:V137" si="330">IF(AND(R133=2),10,IF(R133=3,30,IF(R133=4,50,IF(R133=5,70,0))))</f>
        <v>0</v>
      </c>
      <c r="W133" s="156">
        <f t="shared" ref="W133:W137" si="331">IF(G133="x",H133+J133+L133+N133+O133+P133+Q133+S133+U133+V133,0)</f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16</v>
      </c>
      <c r="D134" s="21" t="str">
        <f>Spieltag!B121</f>
        <v>Benedict Hollerbach</v>
      </c>
      <c r="E134" s="151" t="str">
        <f>Spieltag!C121</f>
        <v>Sturm</v>
      </c>
      <c r="F134" s="152" t="s">
        <v>185</v>
      </c>
      <c r="G134" s="153"/>
      <c r="H134" s="154">
        <f t="shared" si="324"/>
        <v>0</v>
      </c>
      <c r="I134" s="153"/>
      <c r="J134" s="154">
        <f t="shared" si="325"/>
        <v>0</v>
      </c>
      <c r="K134" s="153"/>
      <c r="L134" s="154">
        <f t="shared" si="326"/>
        <v>0</v>
      </c>
      <c r="M134" s="153"/>
      <c r="N134" s="154">
        <f t="shared" si="327"/>
        <v>0</v>
      </c>
      <c r="O134" s="155">
        <f t="shared" si="254"/>
        <v>20</v>
      </c>
      <c r="P134" s="155">
        <f t="shared" si="255"/>
        <v>40</v>
      </c>
      <c r="Q134" s="155">
        <f t="shared" si="319"/>
        <v>-10</v>
      </c>
      <c r="R134" s="153"/>
      <c r="S134" s="154">
        <f t="shared" si="328"/>
        <v>0</v>
      </c>
      <c r="T134" s="153"/>
      <c r="U134" s="154">
        <f t="shared" si="329"/>
        <v>0</v>
      </c>
      <c r="V134" s="155">
        <f t="shared" si="330"/>
        <v>0</v>
      </c>
      <c r="W134" s="156">
        <f t="shared" si="331"/>
        <v>0</v>
      </c>
    </row>
    <row r="135" spans="1:23" ht="10.5" customHeight="1" x14ac:dyDescent="0.2">
      <c r="A135" s="11"/>
      <c r="B135" s="150">
        <f>COUNTA(Spieltag!K122:AA122)</f>
        <v>4</v>
      </c>
      <c r="C135" s="166">
        <f>Spieltag!A122</f>
        <v>17</v>
      </c>
      <c r="D135" s="21" t="str">
        <f>Spieltag!B122</f>
        <v>Kevin Behrens</v>
      </c>
      <c r="E135" s="151" t="str">
        <f>Spieltag!C122</f>
        <v>Sturm</v>
      </c>
      <c r="F135" s="152" t="s">
        <v>185</v>
      </c>
      <c r="G135" s="153" t="s">
        <v>676</v>
      </c>
      <c r="H135" s="154">
        <f t="shared" si="324"/>
        <v>10</v>
      </c>
      <c r="I135" s="153"/>
      <c r="J135" s="154">
        <f t="shared" si="325"/>
        <v>0</v>
      </c>
      <c r="K135" s="153"/>
      <c r="L135" s="154">
        <f t="shared" si="326"/>
        <v>0</v>
      </c>
      <c r="M135" s="153"/>
      <c r="N135" s="154">
        <f t="shared" si="327"/>
        <v>0</v>
      </c>
      <c r="O135" s="155">
        <f t="shared" si="254"/>
        <v>20</v>
      </c>
      <c r="P135" s="155">
        <f t="shared" si="255"/>
        <v>40</v>
      </c>
      <c r="Q135" s="155">
        <f t="shared" si="319"/>
        <v>-10</v>
      </c>
      <c r="R135" s="153">
        <v>3</v>
      </c>
      <c r="S135" s="154">
        <f t="shared" si="328"/>
        <v>30</v>
      </c>
      <c r="T135" s="153"/>
      <c r="U135" s="154">
        <f t="shared" si="329"/>
        <v>0</v>
      </c>
      <c r="V135" s="155">
        <f t="shared" si="330"/>
        <v>30</v>
      </c>
      <c r="W135" s="156">
        <f t="shared" si="331"/>
        <v>120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27</v>
      </c>
      <c r="D136" s="21" t="str">
        <f>Spieltag!B123</f>
        <v>Sheraldo Becker (A)</v>
      </c>
      <c r="E136" s="151" t="str">
        <f>Spieltag!C123</f>
        <v>Sturm</v>
      </c>
      <c r="F136" s="152" t="s">
        <v>185</v>
      </c>
      <c r="G136" s="153"/>
      <c r="H136" s="154">
        <f t="shared" si="324"/>
        <v>0</v>
      </c>
      <c r="I136" s="153"/>
      <c r="J136" s="154">
        <f t="shared" si="325"/>
        <v>0</v>
      </c>
      <c r="K136" s="153"/>
      <c r="L136" s="154">
        <f t="shared" si="326"/>
        <v>0</v>
      </c>
      <c r="M136" s="153"/>
      <c r="N136" s="154">
        <f t="shared" si="327"/>
        <v>0</v>
      </c>
      <c r="O136" s="155">
        <f t="shared" si="254"/>
        <v>20</v>
      </c>
      <c r="P136" s="155">
        <f t="shared" si="255"/>
        <v>40</v>
      </c>
      <c r="Q136" s="155">
        <f t="shared" si="319"/>
        <v>-10</v>
      </c>
      <c r="R136" s="153"/>
      <c r="S136" s="154">
        <f t="shared" si="328"/>
        <v>0</v>
      </c>
      <c r="T136" s="153"/>
      <c r="U136" s="154">
        <f t="shared" si="329"/>
        <v>0</v>
      </c>
      <c r="V136" s="155">
        <f t="shared" si="330"/>
        <v>0</v>
      </c>
      <c r="W136" s="156">
        <f t="shared" si="331"/>
        <v>0</v>
      </c>
    </row>
    <row r="137" spans="1:23" ht="10.5" hidden="1" customHeight="1" x14ac:dyDescent="0.2">
      <c r="A137" s="11"/>
      <c r="B137" s="150">
        <f>COUNTA(Spieltag!K124:AA124)</f>
        <v>0</v>
      </c>
      <c r="C137" s="166">
        <f>Spieltag!A124</f>
        <v>45</v>
      </c>
      <c r="D137" s="21" t="str">
        <f>Spieltag!B124</f>
        <v>Jordan Siebatcheu (A)</v>
      </c>
      <c r="E137" s="151" t="str">
        <f>Spieltag!C124</f>
        <v>Sturm</v>
      </c>
      <c r="F137" s="152" t="s">
        <v>185</v>
      </c>
      <c r="G137" s="153"/>
      <c r="H137" s="154">
        <f t="shared" si="324"/>
        <v>0</v>
      </c>
      <c r="I137" s="153"/>
      <c r="J137" s="154">
        <f t="shared" si="325"/>
        <v>0</v>
      </c>
      <c r="K137" s="153"/>
      <c r="L137" s="154">
        <f t="shared" si="326"/>
        <v>0</v>
      </c>
      <c r="M137" s="153"/>
      <c r="N137" s="154">
        <f t="shared" si="327"/>
        <v>0</v>
      </c>
      <c r="O137" s="155">
        <f t="shared" si="254"/>
        <v>20</v>
      </c>
      <c r="P137" s="155">
        <f t="shared" si="255"/>
        <v>40</v>
      </c>
      <c r="Q137" s="155">
        <f t="shared" si="319"/>
        <v>-10</v>
      </c>
      <c r="R137" s="153"/>
      <c r="S137" s="154">
        <f t="shared" si="328"/>
        <v>0</v>
      </c>
      <c r="T137" s="153"/>
      <c r="U137" s="154">
        <f t="shared" si="329"/>
        <v>0</v>
      </c>
      <c r="V137" s="155">
        <f t="shared" si="330"/>
        <v>0</v>
      </c>
      <c r="W137" s="156">
        <f t="shared" si="331"/>
        <v>0</v>
      </c>
    </row>
    <row r="138" spans="1:23" s="144" customFormat="1" ht="17.25" thickBot="1" x14ac:dyDescent="0.25">
      <c r="A138" s="142"/>
      <c r="B138" s="143">
        <f>SUM(B139:B165)</f>
        <v>2</v>
      </c>
      <c r="C138" s="158"/>
      <c r="D138" s="221" t="s">
        <v>129</v>
      </c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2"/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1</v>
      </c>
      <c r="D139" s="21" t="str">
        <f>Spieltag!B126</f>
        <v>Noah Atubolu</v>
      </c>
      <c r="E139" s="151" t="str">
        <f>Spieltag!C126</f>
        <v>Torwart</v>
      </c>
      <c r="F139" s="152" t="s">
        <v>87</v>
      </c>
      <c r="G139" s="153"/>
      <c r="H139" s="154">
        <f t="shared" ref="H139" si="332">IF(G139="x",10,0)</f>
        <v>0</v>
      </c>
      <c r="I139" s="153"/>
      <c r="J139" s="154">
        <f t="shared" ref="J139" si="333">IF((I139="x"),-10,0)</f>
        <v>0</v>
      </c>
      <c r="K139" s="153"/>
      <c r="L139" s="154">
        <f t="shared" ref="L139" si="334">IF((K139="x"),-20,0)</f>
        <v>0</v>
      </c>
      <c r="M139" s="153"/>
      <c r="N139" s="154">
        <f t="shared" ref="N139" si="335">IF((M139="x"),-30,0)</f>
        <v>0</v>
      </c>
      <c r="O139" s="155">
        <f>IF(AND($V$8&gt;$W$8),20,IF($V$8=$W$8,10,0))</f>
        <v>20</v>
      </c>
      <c r="P139" s="155">
        <f>IF(($V$8&lt;&gt;0),$V$8*10,-5)</f>
        <v>20</v>
      </c>
      <c r="Q139" s="155">
        <f>IF(($W$8&lt;&gt;0),$W$8*-10,20)</f>
        <v>-10</v>
      </c>
      <c r="R139" s="153"/>
      <c r="S139" s="154">
        <f>R139*20</f>
        <v>0</v>
      </c>
      <c r="T139" s="153"/>
      <c r="U139" s="154">
        <f t="shared" ref="U139" si="336">T139*-15</f>
        <v>0</v>
      </c>
      <c r="V139" s="155">
        <f t="shared" ref="V139" si="337">IF(AND(R139=2),10,IF(R139=3,30,IF(R139=4,50,IF(R139=5,70,0))))</f>
        <v>0</v>
      </c>
      <c r="W139" s="156">
        <f t="shared" ref="W139" si="338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21</v>
      </c>
      <c r="D140" s="21" t="str">
        <f>Spieltag!B127</f>
        <v>Florian Müller</v>
      </c>
      <c r="E140" s="151" t="str">
        <f>Spieltag!C127</f>
        <v>Torwart</v>
      </c>
      <c r="F140" s="152" t="s">
        <v>87</v>
      </c>
      <c r="G140" s="153"/>
      <c r="H140" s="154">
        <f t="shared" ref="H140:H141" si="339">IF(G140="x",10,0)</f>
        <v>0</v>
      </c>
      <c r="I140" s="153"/>
      <c r="J140" s="154">
        <f t="shared" ref="J140:J141" si="340">IF((I140="x"),-10,0)</f>
        <v>0</v>
      </c>
      <c r="K140" s="153"/>
      <c r="L140" s="154">
        <f t="shared" ref="L140:L141" si="341">IF((K140="x"),-20,0)</f>
        <v>0</v>
      </c>
      <c r="M140" s="153"/>
      <c r="N140" s="154">
        <f t="shared" ref="N140:N141" si="342">IF((M140="x"),-30,0)</f>
        <v>0</v>
      </c>
      <c r="O140" s="155">
        <f t="shared" ref="O140:O141" si="343">IF(AND($V$8&gt;$W$8),20,IF($V$8=$W$8,10,0))</f>
        <v>20</v>
      </c>
      <c r="P140" s="155">
        <f t="shared" ref="P140:P141" si="344">IF(($V$8&lt;&gt;0),$V$8*10,-5)</f>
        <v>20</v>
      </c>
      <c r="Q140" s="155">
        <f t="shared" ref="Q140:Q141" si="345">IF(($W$8&lt;&gt;0),$W$8*-10,20)</f>
        <v>-10</v>
      </c>
      <c r="R140" s="153"/>
      <c r="S140" s="154">
        <f t="shared" ref="S140:S141" si="346">R140*20</f>
        <v>0</v>
      </c>
      <c r="T140" s="153"/>
      <c r="U140" s="154">
        <f t="shared" ref="U140:U141" si="347">T140*-15</f>
        <v>0</v>
      </c>
      <c r="V140" s="155">
        <f t="shared" ref="V140:V141" si="348">IF(AND(R140=2),10,IF(R140=3,30,IF(R140=4,50,IF(R140=5,70,0))))</f>
        <v>0</v>
      </c>
      <c r="W140" s="156">
        <f t="shared" ref="W140:W141" si="349">IF(G140="x",H140+J140+L140+N140+O140+P140+Q140+S140+U140+V140,0)</f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31</v>
      </c>
      <c r="D141" s="21" t="str">
        <f>Spieltag!B128</f>
        <v>Benjamin Uphoff</v>
      </c>
      <c r="E141" s="151" t="str">
        <f>Spieltag!C128</f>
        <v>Torwart</v>
      </c>
      <c r="F141" s="152" t="s">
        <v>87</v>
      </c>
      <c r="G141" s="153"/>
      <c r="H141" s="154">
        <f t="shared" si="339"/>
        <v>0</v>
      </c>
      <c r="I141" s="153"/>
      <c r="J141" s="154">
        <f t="shared" si="340"/>
        <v>0</v>
      </c>
      <c r="K141" s="153"/>
      <c r="L141" s="154">
        <f t="shared" si="341"/>
        <v>0</v>
      </c>
      <c r="M141" s="153"/>
      <c r="N141" s="154">
        <f t="shared" si="342"/>
        <v>0</v>
      </c>
      <c r="O141" s="155">
        <f t="shared" si="343"/>
        <v>20</v>
      </c>
      <c r="P141" s="155">
        <f t="shared" si="344"/>
        <v>20</v>
      </c>
      <c r="Q141" s="155">
        <f t="shared" si="345"/>
        <v>-10</v>
      </c>
      <c r="R141" s="153"/>
      <c r="S141" s="154">
        <f t="shared" si="346"/>
        <v>0</v>
      </c>
      <c r="T141" s="153"/>
      <c r="U141" s="154">
        <f t="shared" si="347"/>
        <v>0</v>
      </c>
      <c r="V141" s="155">
        <f t="shared" si="348"/>
        <v>0</v>
      </c>
      <c r="W141" s="156">
        <f t="shared" si="349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3</v>
      </c>
      <c r="D142" s="21" t="str">
        <f>Spieltag!B129</f>
        <v>Philipp Lienhart (A)</v>
      </c>
      <c r="E142" s="12" t="str">
        <f>Spieltag!C129</f>
        <v>Abwehr</v>
      </c>
      <c r="F142" s="13" t="s">
        <v>87</v>
      </c>
      <c r="G142" s="14"/>
      <c r="H142" s="15">
        <f t="shared" ref="H142" si="350">IF(G142="x",10,0)</f>
        <v>0</v>
      </c>
      <c r="I142" s="14"/>
      <c r="J142" s="15">
        <f t="shared" ref="J142" si="351">IF((I142="x"),-10,0)</f>
        <v>0</v>
      </c>
      <c r="K142" s="14"/>
      <c r="L142" s="15">
        <f t="shared" ref="L142" si="352">IF((K142="x"),-20,0)</f>
        <v>0</v>
      </c>
      <c r="M142" s="14"/>
      <c r="N142" s="15">
        <f t="shared" ref="N142" si="353">IF((M142="x"),-30,0)</f>
        <v>0</v>
      </c>
      <c r="O142" s="16">
        <f t="shared" ref="O142:O165" si="354">IF(AND($V$8&gt;$W$8),20,IF($V$8=$W$8,10,0))</f>
        <v>20</v>
      </c>
      <c r="P142" s="16">
        <f t="shared" ref="P142:P165" si="355">IF(($V$8&lt;&gt;0),$V$8*10,-5)</f>
        <v>20</v>
      </c>
      <c r="Q142" s="16">
        <f t="shared" ref="Q142:Q151" si="356">IF(($W$8&lt;&gt;0),$W$8*-10,15)</f>
        <v>-10</v>
      </c>
      <c r="R142" s="14"/>
      <c r="S142" s="15">
        <f t="shared" ref="S142" si="357">R142*15</f>
        <v>0</v>
      </c>
      <c r="T142" s="14"/>
      <c r="U142" s="15">
        <f t="shared" ref="U142" si="358">T142*-15</f>
        <v>0</v>
      </c>
      <c r="V142" s="16">
        <f t="shared" ref="V142" si="359">IF(AND(R142=2),10,IF(R142=3,30,IF(R142=4,50,IF(R142=5,70,0))))</f>
        <v>0</v>
      </c>
      <c r="W142" s="17">
        <f t="shared" ref="W142" si="360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4</v>
      </c>
      <c r="D143" s="21" t="str">
        <f>Spieltag!B130</f>
        <v>Kenneth Schmidt</v>
      </c>
      <c r="E143" s="12" t="str">
        <f>Spieltag!C130</f>
        <v>Abwehr</v>
      </c>
      <c r="F143" s="13" t="s">
        <v>87</v>
      </c>
      <c r="G143" s="14"/>
      <c r="H143" s="15">
        <f t="shared" ref="H143:H148" si="361">IF(G143="x",10,0)</f>
        <v>0</v>
      </c>
      <c r="I143" s="14"/>
      <c r="J143" s="15">
        <f t="shared" ref="J143:J148" si="362">IF((I143="x"),-10,0)</f>
        <v>0</v>
      </c>
      <c r="K143" s="14"/>
      <c r="L143" s="15">
        <f t="shared" ref="L143:L148" si="363">IF((K143="x"),-20,0)</f>
        <v>0</v>
      </c>
      <c r="M143" s="14"/>
      <c r="N143" s="15">
        <f t="shared" ref="N143:N148" si="364">IF((M143="x"),-30,0)</f>
        <v>0</v>
      </c>
      <c r="O143" s="16">
        <f t="shared" si="354"/>
        <v>20</v>
      </c>
      <c r="P143" s="16">
        <f t="shared" si="355"/>
        <v>20</v>
      </c>
      <c r="Q143" s="16">
        <f t="shared" si="356"/>
        <v>-10</v>
      </c>
      <c r="R143" s="14"/>
      <c r="S143" s="15">
        <f t="shared" ref="S143:S148" si="365">R143*15</f>
        <v>0</v>
      </c>
      <c r="T143" s="14"/>
      <c r="U143" s="15">
        <f t="shared" ref="U143:U148" si="366">T143*-15</f>
        <v>0</v>
      </c>
      <c r="V143" s="16">
        <f t="shared" ref="V143:V148" si="367">IF(AND(R143=2),10,IF(R143=3,30,IF(R143=4,50,IF(R143=5,70,0))))</f>
        <v>0</v>
      </c>
      <c r="W143" s="17">
        <f t="shared" ref="W143:W148" si="368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5</v>
      </c>
      <c r="D144" s="21" t="str">
        <f>Spieltag!B131</f>
        <v>Manuel Gulde</v>
      </c>
      <c r="E144" s="12" t="str">
        <f>Spieltag!C131</f>
        <v>Abwehr</v>
      </c>
      <c r="F144" s="13" t="s">
        <v>87</v>
      </c>
      <c r="G144" s="14"/>
      <c r="H144" s="15">
        <f t="shared" si="361"/>
        <v>0</v>
      </c>
      <c r="I144" s="14"/>
      <c r="J144" s="15">
        <f t="shared" si="362"/>
        <v>0</v>
      </c>
      <c r="K144" s="14"/>
      <c r="L144" s="15">
        <f t="shared" si="363"/>
        <v>0</v>
      </c>
      <c r="M144" s="14"/>
      <c r="N144" s="15">
        <f t="shared" si="364"/>
        <v>0</v>
      </c>
      <c r="O144" s="16">
        <f t="shared" si="354"/>
        <v>20</v>
      </c>
      <c r="P144" s="16">
        <f t="shared" si="355"/>
        <v>20</v>
      </c>
      <c r="Q144" s="16">
        <f t="shared" si="356"/>
        <v>-10</v>
      </c>
      <c r="R144" s="14"/>
      <c r="S144" s="15">
        <f t="shared" si="365"/>
        <v>0</v>
      </c>
      <c r="T144" s="14"/>
      <c r="U144" s="15">
        <f t="shared" si="366"/>
        <v>0</v>
      </c>
      <c r="V144" s="16">
        <f t="shared" si="367"/>
        <v>0</v>
      </c>
      <c r="W144" s="17">
        <f t="shared" si="368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17</v>
      </c>
      <c r="D145" s="21" t="str">
        <f>Spieltag!B132</f>
        <v>Lukas Kübler</v>
      </c>
      <c r="E145" s="12" t="str">
        <f>Spieltag!C132</f>
        <v>Abwehr</v>
      </c>
      <c r="F145" s="13" t="s">
        <v>87</v>
      </c>
      <c r="G145" s="14"/>
      <c r="H145" s="15">
        <f t="shared" si="361"/>
        <v>0</v>
      </c>
      <c r="I145" s="14"/>
      <c r="J145" s="15">
        <f t="shared" si="362"/>
        <v>0</v>
      </c>
      <c r="K145" s="14"/>
      <c r="L145" s="15">
        <f t="shared" si="363"/>
        <v>0</v>
      </c>
      <c r="M145" s="14"/>
      <c r="N145" s="15">
        <f t="shared" si="364"/>
        <v>0</v>
      </c>
      <c r="O145" s="16">
        <f t="shared" si="354"/>
        <v>20</v>
      </c>
      <c r="P145" s="16">
        <f t="shared" si="355"/>
        <v>20</v>
      </c>
      <c r="Q145" s="16">
        <f t="shared" si="356"/>
        <v>-10</v>
      </c>
      <c r="R145" s="14"/>
      <c r="S145" s="15">
        <f t="shared" si="365"/>
        <v>0</v>
      </c>
      <c r="T145" s="14"/>
      <c r="U145" s="15">
        <f t="shared" si="366"/>
        <v>0</v>
      </c>
      <c r="V145" s="16">
        <f t="shared" si="367"/>
        <v>0</v>
      </c>
      <c r="W145" s="17">
        <f t="shared" si="368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25</v>
      </c>
      <c r="D146" s="21" t="str">
        <f>Spieltag!B133</f>
        <v>Kiliann Sildillia (A)</v>
      </c>
      <c r="E146" s="12" t="str">
        <f>Spieltag!C133</f>
        <v>Abwehr</v>
      </c>
      <c r="F146" s="13" t="s">
        <v>87</v>
      </c>
      <c r="G146" s="14"/>
      <c r="H146" s="15">
        <f t="shared" si="361"/>
        <v>0</v>
      </c>
      <c r="I146" s="14"/>
      <c r="J146" s="15">
        <f t="shared" si="362"/>
        <v>0</v>
      </c>
      <c r="K146" s="14"/>
      <c r="L146" s="15">
        <f t="shared" si="363"/>
        <v>0</v>
      </c>
      <c r="M146" s="14"/>
      <c r="N146" s="15">
        <f t="shared" si="364"/>
        <v>0</v>
      </c>
      <c r="O146" s="16">
        <f t="shared" si="354"/>
        <v>20</v>
      </c>
      <c r="P146" s="16">
        <f t="shared" si="355"/>
        <v>20</v>
      </c>
      <c r="Q146" s="16">
        <f t="shared" si="356"/>
        <v>-10</v>
      </c>
      <c r="R146" s="14"/>
      <c r="S146" s="15">
        <f t="shared" si="365"/>
        <v>0</v>
      </c>
      <c r="T146" s="14"/>
      <c r="U146" s="15">
        <f t="shared" si="366"/>
        <v>0</v>
      </c>
      <c r="V146" s="16">
        <f t="shared" si="367"/>
        <v>0</v>
      </c>
      <c r="W146" s="17">
        <f t="shared" si="368"/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26</v>
      </c>
      <c r="D147" s="21" t="str">
        <f>Spieltag!B134</f>
        <v>Keven Schlotterbeck</v>
      </c>
      <c r="E147" s="12" t="str">
        <f>Spieltag!C134</f>
        <v>Abwehr</v>
      </c>
      <c r="F147" s="13" t="s">
        <v>87</v>
      </c>
      <c r="G147" s="14"/>
      <c r="H147" s="15">
        <f t="shared" si="361"/>
        <v>0</v>
      </c>
      <c r="I147" s="14"/>
      <c r="J147" s="15">
        <f t="shared" si="362"/>
        <v>0</v>
      </c>
      <c r="K147" s="14"/>
      <c r="L147" s="15">
        <f t="shared" si="363"/>
        <v>0</v>
      </c>
      <c r="M147" s="14"/>
      <c r="N147" s="15">
        <f t="shared" si="364"/>
        <v>0</v>
      </c>
      <c r="O147" s="16">
        <f t="shared" si="354"/>
        <v>20</v>
      </c>
      <c r="P147" s="16">
        <f t="shared" si="355"/>
        <v>20</v>
      </c>
      <c r="Q147" s="16">
        <f t="shared" si="356"/>
        <v>-10</v>
      </c>
      <c r="R147" s="14"/>
      <c r="S147" s="15">
        <f t="shared" si="365"/>
        <v>0</v>
      </c>
      <c r="T147" s="14"/>
      <c r="U147" s="15">
        <f t="shared" si="366"/>
        <v>0</v>
      </c>
      <c r="V147" s="16">
        <f t="shared" si="367"/>
        <v>0</v>
      </c>
      <c r="W147" s="17">
        <f t="shared" si="368"/>
        <v>0</v>
      </c>
    </row>
    <row r="148" spans="1:23" ht="10.5" customHeight="1" x14ac:dyDescent="0.2">
      <c r="A148" s="11"/>
      <c r="B148" s="149">
        <f>COUNTA(Spieltag!K135:AA135)</f>
        <v>1</v>
      </c>
      <c r="C148" s="166">
        <f>Spieltag!A135</f>
        <v>28</v>
      </c>
      <c r="D148" s="21" t="str">
        <f>Spieltag!B135</f>
        <v>Matthias Ginter</v>
      </c>
      <c r="E148" s="12" t="str">
        <f>Spieltag!C135</f>
        <v>Abwehr</v>
      </c>
      <c r="F148" s="13" t="s">
        <v>87</v>
      </c>
      <c r="G148" s="14" t="s">
        <v>676</v>
      </c>
      <c r="H148" s="15">
        <f t="shared" si="361"/>
        <v>10</v>
      </c>
      <c r="I148" s="14"/>
      <c r="J148" s="15">
        <f t="shared" si="362"/>
        <v>0</v>
      </c>
      <c r="K148" s="14"/>
      <c r="L148" s="15">
        <f t="shared" si="363"/>
        <v>0</v>
      </c>
      <c r="M148" s="14"/>
      <c r="N148" s="15">
        <f t="shared" si="364"/>
        <v>0</v>
      </c>
      <c r="O148" s="16">
        <f t="shared" si="354"/>
        <v>20</v>
      </c>
      <c r="P148" s="16">
        <f t="shared" si="355"/>
        <v>20</v>
      </c>
      <c r="Q148" s="16">
        <f t="shared" si="356"/>
        <v>-10</v>
      </c>
      <c r="R148" s="14"/>
      <c r="S148" s="15">
        <f t="shared" si="365"/>
        <v>0</v>
      </c>
      <c r="T148" s="14"/>
      <c r="U148" s="15">
        <f t="shared" si="366"/>
        <v>0</v>
      </c>
      <c r="V148" s="16">
        <f t="shared" si="367"/>
        <v>0</v>
      </c>
      <c r="W148" s="17">
        <f t="shared" si="368"/>
        <v>40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30</v>
      </c>
      <c r="D149" s="21" t="str">
        <f>Spieltag!B136</f>
        <v>Christian Günter</v>
      </c>
      <c r="E149" s="12" t="str">
        <f>Spieltag!C136</f>
        <v>Abwehr</v>
      </c>
      <c r="F149" s="13" t="s">
        <v>87</v>
      </c>
      <c r="G149" s="14"/>
      <c r="H149" s="15">
        <f t="shared" ref="H149:H151" si="369">IF(G149="x",10,0)</f>
        <v>0</v>
      </c>
      <c r="I149" s="14"/>
      <c r="J149" s="15">
        <f t="shared" ref="J149:J151" si="370">IF((I149="x"),-10,0)</f>
        <v>0</v>
      </c>
      <c r="K149" s="14"/>
      <c r="L149" s="15">
        <f t="shared" ref="L149:L151" si="371">IF((K149="x"),-20,0)</f>
        <v>0</v>
      </c>
      <c r="M149" s="14"/>
      <c r="N149" s="15">
        <f t="shared" ref="N149:N151" si="372">IF((M149="x"),-30,0)</f>
        <v>0</v>
      </c>
      <c r="O149" s="16">
        <f t="shared" si="354"/>
        <v>20</v>
      </c>
      <c r="P149" s="16">
        <f t="shared" si="355"/>
        <v>20</v>
      </c>
      <c r="Q149" s="16">
        <f t="shared" si="356"/>
        <v>-10</v>
      </c>
      <c r="R149" s="14"/>
      <c r="S149" s="15">
        <f t="shared" ref="S149:S151" si="373">R149*15</f>
        <v>0</v>
      </c>
      <c r="T149" s="14"/>
      <c r="U149" s="15">
        <f t="shared" ref="U149:U151" si="374">T149*-15</f>
        <v>0</v>
      </c>
      <c r="V149" s="16">
        <f t="shared" ref="V149:V151" si="375">IF(AND(R149=2),10,IF(R149=3,30,IF(R149=4,50,IF(R149=5,70,0))))</f>
        <v>0</v>
      </c>
      <c r="W149" s="17">
        <f t="shared" ref="W149:W151" si="376">IF(G149="x",H149+J149+L149+N149+O149+P149+Q149+S149+U149+V149,0)</f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33</v>
      </c>
      <c r="D150" s="21" t="str">
        <f>Spieltag!B137</f>
        <v>Jordy Makengo (A)</v>
      </c>
      <c r="E150" s="12" t="str">
        <f>Spieltag!C137</f>
        <v>Abwehr</v>
      </c>
      <c r="F150" s="13" t="s">
        <v>87</v>
      </c>
      <c r="G150" s="14"/>
      <c r="H150" s="15">
        <f t="shared" si="369"/>
        <v>0</v>
      </c>
      <c r="I150" s="14"/>
      <c r="J150" s="15">
        <f t="shared" si="370"/>
        <v>0</v>
      </c>
      <c r="K150" s="14"/>
      <c r="L150" s="15">
        <f t="shared" si="371"/>
        <v>0</v>
      </c>
      <c r="M150" s="14"/>
      <c r="N150" s="15">
        <f t="shared" si="372"/>
        <v>0</v>
      </c>
      <c r="O150" s="16">
        <f t="shared" si="354"/>
        <v>20</v>
      </c>
      <c r="P150" s="16">
        <f t="shared" si="355"/>
        <v>20</v>
      </c>
      <c r="Q150" s="16">
        <f t="shared" si="356"/>
        <v>-10</v>
      </c>
      <c r="R150" s="14"/>
      <c r="S150" s="15">
        <f t="shared" si="373"/>
        <v>0</v>
      </c>
      <c r="T150" s="14"/>
      <c r="U150" s="15">
        <f t="shared" si="374"/>
        <v>0</v>
      </c>
      <c r="V150" s="16">
        <f t="shared" si="375"/>
        <v>0</v>
      </c>
      <c r="W150" s="17">
        <f t="shared" si="376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37</v>
      </c>
      <c r="D151" s="21" t="str">
        <f>Spieltag!B138</f>
        <v>Max Rosenfelder</v>
      </c>
      <c r="E151" s="12" t="str">
        <f>Spieltag!C138</f>
        <v>Abwehr</v>
      </c>
      <c r="F151" s="13" t="s">
        <v>87</v>
      </c>
      <c r="G151" s="14"/>
      <c r="H151" s="15">
        <f t="shared" si="369"/>
        <v>0</v>
      </c>
      <c r="I151" s="14"/>
      <c r="J151" s="15">
        <f t="shared" si="370"/>
        <v>0</v>
      </c>
      <c r="K151" s="14"/>
      <c r="L151" s="15">
        <f t="shared" si="371"/>
        <v>0</v>
      </c>
      <c r="M151" s="14"/>
      <c r="N151" s="15">
        <f t="shared" si="372"/>
        <v>0</v>
      </c>
      <c r="O151" s="16">
        <f t="shared" si="354"/>
        <v>20</v>
      </c>
      <c r="P151" s="16">
        <f t="shared" si="355"/>
        <v>20</v>
      </c>
      <c r="Q151" s="16">
        <f t="shared" si="356"/>
        <v>-10</v>
      </c>
      <c r="R151" s="14"/>
      <c r="S151" s="15">
        <f t="shared" si="373"/>
        <v>0</v>
      </c>
      <c r="T151" s="14"/>
      <c r="U151" s="15">
        <f t="shared" si="374"/>
        <v>0</v>
      </c>
      <c r="V151" s="16">
        <f t="shared" si="375"/>
        <v>0</v>
      </c>
      <c r="W151" s="17">
        <f t="shared" si="376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7</v>
      </c>
      <c r="D152" s="21" t="str">
        <f>Spieltag!B139</f>
        <v>Noah Weisshaupt</v>
      </c>
      <c r="E152" s="12" t="str">
        <f>Spieltag!C139</f>
        <v>Mittelfeld</v>
      </c>
      <c r="F152" s="13" t="s">
        <v>87</v>
      </c>
      <c r="G152" s="14"/>
      <c r="H152" s="15">
        <f t="shared" ref="H152" si="377">IF(G152="x",10,0)</f>
        <v>0</v>
      </c>
      <c r="I152" s="14"/>
      <c r="J152" s="15">
        <f t="shared" ref="J152" si="378">IF((I152="x"),-10,0)</f>
        <v>0</v>
      </c>
      <c r="K152" s="14"/>
      <c r="L152" s="15">
        <f t="shared" ref="L152" si="379">IF((K152="x"),-20,0)</f>
        <v>0</v>
      </c>
      <c r="M152" s="14"/>
      <c r="N152" s="15">
        <f t="shared" ref="N152" si="380">IF((M152="x"),-30,0)</f>
        <v>0</v>
      </c>
      <c r="O152" s="16">
        <f t="shared" si="354"/>
        <v>20</v>
      </c>
      <c r="P152" s="16">
        <f t="shared" si="355"/>
        <v>20</v>
      </c>
      <c r="Q152" s="16">
        <f t="shared" ref="Q152:Q161" si="381">IF(($W$8&lt;&gt;0),$W$8*-10,10)</f>
        <v>-10</v>
      </c>
      <c r="R152" s="14"/>
      <c r="S152" s="15">
        <f t="shared" ref="S152" si="382">R152*10</f>
        <v>0</v>
      </c>
      <c r="T152" s="14"/>
      <c r="U152" s="15">
        <f t="shared" ref="U152" si="383">T152*-15</f>
        <v>0</v>
      </c>
      <c r="V152" s="16">
        <f t="shared" ref="V152" si="384">IF(AND(R152=2),10,IF(R152=3,30,IF(R152=4,50,IF(R152=5,70,0))))</f>
        <v>0</v>
      </c>
      <c r="W152" s="17">
        <f t="shared" ref="W152" si="385">IF(G152="x",H152+J152+L152+N152+O152+P152+Q152+S152+U152+V152,0)</f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8</v>
      </c>
      <c r="D153" s="21" t="str">
        <f>Spieltag!B140</f>
        <v>Maximilian Eggestein</v>
      </c>
      <c r="E153" s="12" t="str">
        <f>Spieltag!C140</f>
        <v>Mittelfeld</v>
      </c>
      <c r="F153" s="13" t="s">
        <v>87</v>
      </c>
      <c r="G153" s="14"/>
      <c r="H153" s="15">
        <f t="shared" ref="H153:H161" si="386">IF(G153="x",10,0)</f>
        <v>0</v>
      </c>
      <c r="I153" s="14"/>
      <c r="J153" s="15">
        <f t="shared" ref="J153:J161" si="387">IF((I153="x"),-10,0)</f>
        <v>0</v>
      </c>
      <c r="K153" s="14"/>
      <c r="L153" s="15">
        <f t="shared" ref="L153:L161" si="388">IF((K153="x"),-20,0)</f>
        <v>0</v>
      </c>
      <c r="M153" s="14"/>
      <c r="N153" s="15">
        <f t="shared" ref="N153:N161" si="389">IF((M153="x"),-30,0)</f>
        <v>0</v>
      </c>
      <c r="O153" s="16">
        <f t="shared" si="354"/>
        <v>20</v>
      </c>
      <c r="P153" s="16">
        <f t="shared" si="355"/>
        <v>20</v>
      </c>
      <c r="Q153" s="16">
        <f t="shared" si="381"/>
        <v>-10</v>
      </c>
      <c r="R153" s="14"/>
      <c r="S153" s="15">
        <f t="shared" ref="S153:S161" si="390">R153*10</f>
        <v>0</v>
      </c>
      <c r="T153" s="14"/>
      <c r="U153" s="15">
        <f t="shared" ref="U153:U161" si="391">T153*-15</f>
        <v>0</v>
      </c>
      <c r="V153" s="16">
        <f t="shared" ref="V153:V161" si="392">IF(AND(R153=2),10,IF(R153=3,30,IF(R153=4,50,IF(R153=5,70,0))))</f>
        <v>0</v>
      </c>
      <c r="W153" s="17">
        <f t="shared" ref="W153:W161" si="393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11</v>
      </c>
      <c r="D154" s="21" t="str">
        <f>Spieltag!B141</f>
        <v>Daniel-Kofi Kyereh</v>
      </c>
      <c r="E154" s="12" t="str">
        <f>Spieltag!C141</f>
        <v>Mittelfeld</v>
      </c>
      <c r="F154" s="13" t="s">
        <v>87</v>
      </c>
      <c r="G154" s="14"/>
      <c r="H154" s="15">
        <f t="shared" si="386"/>
        <v>0</v>
      </c>
      <c r="I154" s="14"/>
      <c r="J154" s="15">
        <f t="shared" si="387"/>
        <v>0</v>
      </c>
      <c r="K154" s="14"/>
      <c r="L154" s="15">
        <f t="shared" si="388"/>
        <v>0</v>
      </c>
      <c r="M154" s="14"/>
      <c r="N154" s="15">
        <f t="shared" si="389"/>
        <v>0</v>
      </c>
      <c r="O154" s="16">
        <f t="shared" si="354"/>
        <v>20</v>
      </c>
      <c r="P154" s="16">
        <f t="shared" si="355"/>
        <v>20</v>
      </c>
      <c r="Q154" s="16">
        <f t="shared" si="381"/>
        <v>-10</v>
      </c>
      <c r="R154" s="14"/>
      <c r="S154" s="15">
        <f t="shared" si="390"/>
        <v>0</v>
      </c>
      <c r="T154" s="14"/>
      <c r="U154" s="15">
        <f t="shared" si="391"/>
        <v>0</v>
      </c>
      <c r="V154" s="16">
        <f t="shared" si="392"/>
        <v>0</v>
      </c>
      <c r="W154" s="17">
        <f t="shared" si="393"/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14</v>
      </c>
      <c r="D155" s="21" t="str">
        <f>Spieltag!B142</f>
        <v>Yannik Keitel</v>
      </c>
      <c r="E155" s="12" t="str">
        <f>Spieltag!C142</f>
        <v>Mittelfeld</v>
      </c>
      <c r="F155" s="13" t="s">
        <v>87</v>
      </c>
      <c r="G155" s="14"/>
      <c r="H155" s="15">
        <f t="shared" si="386"/>
        <v>0</v>
      </c>
      <c r="I155" s="14"/>
      <c r="J155" s="15">
        <f t="shared" si="387"/>
        <v>0</v>
      </c>
      <c r="K155" s="14"/>
      <c r="L155" s="15">
        <f t="shared" si="388"/>
        <v>0</v>
      </c>
      <c r="M155" s="14"/>
      <c r="N155" s="15">
        <f t="shared" si="389"/>
        <v>0</v>
      </c>
      <c r="O155" s="16">
        <f t="shared" si="354"/>
        <v>20</v>
      </c>
      <c r="P155" s="16">
        <f t="shared" si="355"/>
        <v>20</v>
      </c>
      <c r="Q155" s="16">
        <f t="shared" si="381"/>
        <v>-10</v>
      </c>
      <c r="R155" s="14"/>
      <c r="S155" s="15">
        <f t="shared" si="390"/>
        <v>0</v>
      </c>
      <c r="T155" s="14"/>
      <c r="U155" s="15">
        <f t="shared" si="391"/>
        <v>0</v>
      </c>
      <c r="V155" s="16">
        <f t="shared" si="392"/>
        <v>0</v>
      </c>
      <c r="W155" s="17">
        <f t="shared" si="393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22</v>
      </c>
      <c r="D156" s="21" t="str">
        <f>Spieltag!B143</f>
        <v>Roland Sallai (A)</v>
      </c>
      <c r="E156" s="12" t="str">
        <f>Spieltag!C143</f>
        <v>Mittelfeld</v>
      </c>
      <c r="F156" s="13" t="s">
        <v>87</v>
      </c>
      <c r="G156" s="14"/>
      <c r="H156" s="15">
        <f t="shared" si="386"/>
        <v>0</v>
      </c>
      <c r="I156" s="14"/>
      <c r="J156" s="15">
        <f t="shared" si="387"/>
        <v>0</v>
      </c>
      <c r="K156" s="14"/>
      <c r="L156" s="15">
        <f t="shared" si="388"/>
        <v>0</v>
      </c>
      <c r="M156" s="14"/>
      <c r="N156" s="15">
        <f t="shared" si="389"/>
        <v>0</v>
      </c>
      <c r="O156" s="16">
        <f t="shared" si="354"/>
        <v>20</v>
      </c>
      <c r="P156" s="16">
        <f t="shared" si="355"/>
        <v>20</v>
      </c>
      <c r="Q156" s="16">
        <f t="shared" si="381"/>
        <v>-10</v>
      </c>
      <c r="R156" s="14"/>
      <c r="S156" s="15">
        <f t="shared" si="390"/>
        <v>0</v>
      </c>
      <c r="T156" s="14"/>
      <c r="U156" s="15">
        <f t="shared" si="391"/>
        <v>0</v>
      </c>
      <c r="V156" s="16">
        <f t="shared" si="392"/>
        <v>0</v>
      </c>
      <c r="W156" s="17">
        <f t="shared" si="393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27</v>
      </c>
      <c r="D157" s="21" t="str">
        <f>Spieltag!B144</f>
        <v>Nicolas Höfler</v>
      </c>
      <c r="E157" s="12" t="str">
        <f>Spieltag!C144</f>
        <v>Mittelfeld</v>
      </c>
      <c r="F157" s="13" t="s">
        <v>87</v>
      </c>
      <c r="G157" s="14"/>
      <c r="H157" s="15">
        <f t="shared" si="386"/>
        <v>0</v>
      </c>
      <c r="I157" s="14"/>
      <c r="J157" s="15">
        <f t="shared" si="387"/>
        <v>0</v>
      </c>
      <c r="K157" s="14"/>
      <c r="L157" s="15">
        <f t="shared" si="388"/>
        <v>0</v>
      </c>
      <c r="M157" s="14"/>
      <c r="N157" s="15">
        <f t="shared" si="389"/>
        <v>0</v>
      </c>
      <c r="O157" s="16">
        <f t="shared" si="354"/>
        <v>20</v>
      </c>
      <c r="P157" s="16">
        <f t="shared" si="355"/>
        <v>20</v>
      </c>
      <c r="Q157" s="16">
        <f t="shared" si="381"/>
        <v>-10</v>
      </c>
      <c r="R157" s="14"/>
      <c r="S157" s="15">
        <f t="shared" si="390"/>
        <v>0</v>
      </c>
      <c r="T157" s="14"/>
      <c r="U157" s="15">
        <f t="shared" si="391"/>
        <v>0</v>
      </c>
      <c r="V157" s="16">
        <f t="shared" si="392"/>
        <v>0</v>
      </c>
      <c r="W157" s="17">
        <f t="shared" si="393"/>
        <v>0</v>
      </c>
    </row>
    <row r="158" spans="1:23" ht="10.5" customHeight="1" x14ac:dyDescent="0.2">
      <c r="A158" s="11"/>
      <c r="B158" s="149">
        <f>COUNTA(Spieltag!K145:AA145)</f>
        <v>1</v>
      </c>
      <c r="C158" s="166">
        <f>Spieltag!A145</f>
        <v>32</v>
      </c>
      <c r="D158" s="21" t="str">
        <f>Spieltag!B145</f>
        <v>Vincenzo Grifo</v>
      </c>
      <c r="E158" s="12" t="str">
        <f>Spieltag!C145</f>
        <v>Mittelfeld</v>
      </c>
      <c r="F158" s="13" t="s">
        <v>87</v>
      </c>
      <c r="G158" s="14" t="s">
        <v>676</v>
      </c>
      <c r="H158" s="15">
        <f t="shared" si="386"/>
        <v>10</v>
      </c>
      <c r="I158" s="14"/>
      <c r="J158" s="15">
        <f t="shared" si="387"/>
        <v>0</v>
      </c>
      <c r="K158" s="14"/>
      <c r="L158" s="15">
        <f t="shared" si="388"/>
        <v>0</v>
      </c>
      <c r="M158" s="14"/>
      <c r="N158" s="15">
        <f t="shared" si="389"/>
        <v>0</v>
      </c>
      <c r="O158" s="16">
        <f t="shared" si="354"/>
        <v>20</v>
      </c>
      <c r="P158" s="16">
        <f t="shared" si="355"/>
        <v>20</v>
      </c>
      <c r="Q158" s="16">
        <f t="shared" si="381"/>
        <v>-10</v>
      </c>
      <c r="R158" s="14"/>
      <c r="S158" s="15">
        <f t="shared" si="390"/>
        <v>0</v>
      </c>
      <c r="T158" s="14"/>
      <c r="U158" s="15">
        <f t="shared" si="391"/>
        <v>0</v>
      </c>
      <c r="V158" s="16">
        <f t="shared" si="392"/>
        <v>0</v>
      </c>
      <c r="W158" s="17">
        <f t="shared" si="393"/>
        <v>40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34</v>
      </c>
      <c r="D159" s="21" t="str">
        <f>Spieltag!B146</f>
        <v>Merlin Röhl</v>
      </c>
      <c r="E159" s="12" t="str">
        <f>Spieltag!C146</f>
        <v>Mittelfeld</v>
      </c>
      <c r="F159" s="13" t="s">
        <v>87</v>
      </c>
      <c r="G159" s="14"/>
      <c r="H159" s="15">
        <f t="shared" si="386"/>
        <v>0</v>
      </c>
      <c r="I159" s="14"/>
      <c r="J159" s="15">
        <f t="shared" si="387"/>
        <v>0</v>
      </c>
      <c r="K159" s="14"/>
      <c r="L159" s="15">
        <f t="shared" si="388"/>
        <v>0</v>
      </c>
      <c r="M159" s="14"/>
      <c r="N159" s="15">
        <f t="shared" si="389"/>
        <v>0</v>
      </c>
      <c r="O159" s="16">
        <f t="shared" si="354"/>
        <v>20</v>
      </c>
      <c r="P159" s="16">
        <f t="shared" si="355"/>
        <v>20</v>
      </c>
      <c r="Q159" s="16">
        <f t="shared" si="381"/>
        <v>-10</v>
      </c>
      <c r="R159" s="14"/>
      <c r="S159" s="15">
        <f t="shared" si="390"/>
        <v>0</v>
      </c>
      <c r="T159" s="14"/>
      <c r="U159" s="15">
        <f t="shared" si="391"/>
        <v>0</v>
      </c>
      <c r="V159" s="16">
        <f t="shared" si="392"/>
        <v>0</v>
      </c>
      <c r="W159" s="17">
        <f t="shared" si="393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42</v>
      </c>
      <c r="D160" s="21" t="str">
        <f>Spieltag!B147</f>
        <v>Ritsu Doan (A)</v>
      </c>
      <c r="E160" s="12" t="str">
        <f>Spieltag!C147</f>
        <v>Mittelfeld</v>
      </c>
      <c r="F160" s="13" t="s">
        <v>87</v>
      </c>
      <c r="G160" s="14"/>
      <c r="H160" s="15">
        <f t="shared" ref="H160" si="394">IF(G160="x",10,0)</f>
        <v>0</v>
      </c>
      <c r="I160" s="14"/>
      <c r="J160" s="15">
        <f t="shared" ref="J160" si="395">IF((I160="x"),-10,0)</f>
        <v>0</v>
      </c>
      <c r="K160" s="14"/>
      <c r="L160" s="15">
        <f t="shared" ref="L160" si="396">IF((K160="x"),-20,0)</f>
        <v>0</v>
      </c>
      <c r="M160" s="14"/>
      <c r="N160" s="15">
        <f t="shared" ref="N160" si="397">IF((M160="x"),-30,0)</f>
        <v>0</v>
      </c>
      <c r="O160" s="16">
        <f t="shared" si="354"/>
        <v>20</v>
      </c>
      <c r="P160" s="16">
        <f t="shared" si="355"/>
        <v>20</v>
      </c>
      <c r="Q160" s="16">
        <f t="shared" si="381"/>
        <v>-10</v>
      </c>
      <c r="R160" s="14"/>
      <c r="S160" s="15">
        <f t="shared" ref="S160" si="398">R160*10</f>
        <v>0</v>
      </c>
      <c r="T160" s="14"/>
      <c r="U160" s="15">
        <f t="shared" ref="U160" si="399">T160*-15</f>
        <v>0</v>
      </c>
      <c r="V160" s="16">
        <f t="shared" ref="V160" si="400">IF(AND(R160=2),10,IF(R160=3,30,IF(R160=4,50,IF(R160=5,70,0))))</f>
        <v>0</v>
      </c>
      <c r="W160" s="17">
        <f t="shared" ref="W160" si="401">IF(G160="x",H160+J160+L160+N160+O160+P160+Q160+S160+U160+V160,0)</f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54</v>
      </c>
      <c r="D161" s="21" t="str">
        <f>Spieltag!B148</f>
        <v>Mika Baur</v>
      </c>
      <c r="E161" s="12" t="str">
        <f>Spieltag!C148</f>
        <v>Mittelfeld</v>
      </c>
      <c r="F161" s="13" t="s">
        <v>87</v>
      </c>
      <c r="G161" s="14"/>
      <c r="H161" s="15">
        <f t="shared" si="386"/>
        <v>0</v>
      </c>
      <c r="I161" s="14"/>
      <c r="J161" s="15">
        <f t="shared" si="387"/>
        <v>0</v>
      </c>
      <c r="K161" s="14"/>
      <c r="L161" s="15">
        <f t="shared" si="388"/>
        <v>0</v>
      </c>
      <c r="M161" s="14"/>
      <c r="N161" s="15">
        <f t="shared" si="389"/>
        <v>0</v>
      </c>
      <c r="O161" s="16">
        <f t="shared" si="354"/>
        <v>20</v>
      </c>
      <c r="P161" s="16">
        <f t="shared" si="355"/>
        <v>20</v>
      </c>
      <c r="Q161" s="16">
        <f t="shared" si="381"/>
        <v>-10</v>
      </c>
      <c r="R161" s="14"/>
      <c r="S161" s="15">
        <f t="shared" si="390"/>
        <v>0</v>
      </c>
      <c r="T161" s="14"/>
      <c r="U161" s="15">
        <f t="shared" si="391"/>
        <v>0</v>
      </c>
      <c r="V161" s="16">
        <f t="shared" si="392"/>
        <v>0</v>
      </c>
      <c r="W161" s="17">
        <f t="shared" si="393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9</v>
      </c>
      <c r="D162" s="21" t="str">
        <f>Spieltag!B149</f>
        <v>Lucas Höler</v>
      </c>
      <c r="E162" s="12" t="str">
        <f>Spieltag!C149</f>
        <v>Sturm</v>
      </c>
      <c r="F162" s="13" t="s">
        <v>87</v>
      </c>
      <c r="G162" s="14"/>
      <c r="H162" s="15">
        <f>IF(G162="x",10,0)</f>
        <v>0</v>
      </c>
      <c r="I162" s="14"/>
      <c r="J162" s="15">
        <f>IF((I162="x"),-10,0)</f>
        <v>0</v>
      </c>
      <c r="K162" s="14"/>
      <c r="L162" s="15">
        <f>IF((K162="x"),-20,0)</f>
        <v>0</v>
      </c>
      <c r="M162" s="14"/>
      <c r="N162" s="15">
        <f>IF((M162="x"),-30,0)</f>
        <v>0</v>
      </c>
      <c r="O162" s="16">
        <f t="shared" si="354"/>
        <v>20</v>
      </c>
      <c r="P162" s="16">
        <f t="shared" si="355"/>
        <v>20</v>
      </c>
      <c r="Q162" s="16">
        <f>IF(($W$8&lt;&gt;0),$W$8*-10,5)</f>
        <v>-10</v>
      </c>
      <c r="R162" s="14"/>
      <c r="S162" s="15">
        <f>R162*10</f>
        <v>0</v>
      </c>
      <c r="T162" s="14"/>
      <c r="U162" s="15">
        <f>T162*-15</f>
        <v>0</v>
      </c>
      <c r="V162" s="16">
        <f>IF(AND(R162=2),10,IF(R162=3,30,IF(R162=4,50,IF(R162=5,70,0))))</f>
        <v>0</v>
      </c>
      <c r="W162" s="17">
        <f>IF(G162="x",H162+J162+L162+N162+O162+P162+Q162+S162+U162+V162,0)</f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20</v>
      </c>
      <c r="D163" s="21" t="str">
        <f>Spieltag!B150</f>
        <v>Junior Adamu (A)</v>
      </c>
      <c r="E163" s="12" t="str">
        <f>Spieltag!C150</f>
        <v>Sturm</v>
      </c>
      <c r="F163" s="13" t="s">
        <v>87</v>
      </c>
      <c r="G163" s="14"/>
      <c r="H163" s="15">
        <f t="shared" ref="H163:H165" si="402">IF(G163="x",10,0)</f>
        <v>0</v>
      </c>
      <c r="I163" s="14"/>
      <c r="J163" s="15">
        <f t="shared" ref="J163:J165" si="403">IF((I163="x"),-10,0)</f>
        <v>0</v>
      </c>
      <c r="K163" s="14"/>
      <c r="L163" s="15">
        <f t="shared" ref="L163:L165" si="404">IF((K163="x"),-20,0)</f>
        <v>0</v>
      </c>
      <c r="M163" s="14"/>
      <c r="N163" s="15">
        <f t="shared" ref="N163:N165" si="405">IF((M163="x"),-30,0)</f>
        <v>0</v>
      </c>
      <c r="O163" s="16">
        <f t="shared" si="354"/>
        <v>20</v>
      </c>
      <c r="P163" s="16">
        <f t="shared" si="355"/>
        <v>20</v>
      </c>
      <c r="Q163" s="16">
        <f t="shared" ref="Q163:Q165" si="406">IF(($W$8&lt;&gt;0),$W$8*-10,5)</f>
        <v>-10</v>
      </c>
      <c r="R163" s="14"/>
      <c r="S163" s="15">
        <f t="shared" ref="S163:S165" si="407">R163*10</f>
        <v>0</v>
      </c>
      <c r="T163" s="14"/>
      <c r="U163" s="15">
        <f t="shared" ref="U163:U165" si="408">T163*-15</f>
        <v>0</v>
      </c>
      <c r="V163" s="16">
        <f t="shared" ref="V163:V165" si="409">IF(AND(R163=2),10,IF(R163=3,30,IF(R163=4,50,IF(R163=5,70,0))))</f>
        <v>0</v>
      </c>
      <c r="W163" s="17">
        <f t="shared" ref="W163:W165" si="410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38</v>
      </c>
      <c r="D164" s="21" t="str">
        <f>Spieltag!B151</f>
        <v>Michael Gregoritsch (A)</v>
      </c>
      <c r="E164" s="12" t="str">
        <f>Spieltag!C151</f>
        <v>Sturm</v>
      </c>
      <c r="F164" s="13" t="s">
        <v>87</v>
      </c>
      <c r="G164" s="14"/>
      <c r="H164" s="15">
        <f t="shared" ref="H164" si="411">IF(G164="x",10,0)</f>
        <v>0</v>
      </c>
      <c r="I164" s="14"/>
      <c r="J164" s="15">
        <f t="shared" ref="J164" si="412">IF((I164="x"),-10,0)</f>
        <v>0</v>
      </c>
      <c r="K164" s="14"/>
      <c r="L164" s="15">
        <f t="shared" ref="L164" si="413">IF((K164="x"),-20,0)</f>
        <v>0</v>
      </c>
      <c r="M164" s="14"/>
      <c r="N164" s="15">
        <f t="shared" ref="N164" si="414">IF((M164="x"),-30,0)</f>
        <v>0</v>
      </c>
      <c r="O164" s="16">
        <f t="shared" si="354"/>
        <v>20</v>
      </c>
      <c r="P164" s="16">
        <f t="shared" si="355"/>
        <v>20</v>
      </c>
      <c r="Q164" s="16">
        <f t="shared" si="406"/>
        <v>-10</v>
      </c>
      <c r="R164" s="14"/>
      <c r="S164" s="15">
        <f t="shared" ref="S164" si="415">R164*10</f>
        <v>0</v>
      </c>
      <c r="T164" s="14"/>
      <c r="U164" s="15">
        <f t="shared" ref="U164" si="416">T164*-15</f>
        <v>0</v>
      </c>
      <c r="V164" s="16">
        <f t="shared" ref="V164" si="417">IF(AND(R164=2),10,IF(R164=3,30,IF(R164=4,50,IF(R164=5,70,0))))</f>
        <v>0</v>
      </c>
      <c r="W164" s="17">
        <f t="shared" ref="W164" si="418">IF(G164="x",H164+J164+L164+N164+O164+P164+Q164+S164+U164+V164,0)</f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44</v>
      </c>
      <c r="D165" s="21" t="str">
        <f>Spieltag!B152</f>
        <v>Maximilian Breunig</v>
      </c>
      <c r="E165" s="12" t="str">
        <f>Spieltag!C152</f>
        <v>Sturm</v>
      </c>
      <c r="F165" s="13" t="s">
        <v>87</v>
      </c>
      <c r="G165" s="14"/>
      <c r="H165" s="15">
        <f t="shared" si="402"/>
        <v>0</v>
      </c>
      <c r="I165" s="14"/>
      <c r="J165" s="15">
        <f t="shared" si="403"/>
        <v>0</v>
      </c>
      <c r="K165" s="14"/>
      <c r="L165" s="15">
        <f t="shared" si="404"/>
        <v>0</v>
      </c>
      <c r="M165" s="14"/>
      <c r="N165" s="15">
        <f t="shared" si="405"/>
        <v>0</v>
      </c>
      <c r="O165" s="16">
        <f t="shared" si="354"/>
        <v>20</v>
      </c>
      <c r="P165" s="16">
        <f t="shared" si="355"/>
        <v>20</v>
      </c>
      <c r="Q165" s="16">
        <f t="shared" si="406"/>
        <v>-10</v>
      </c>
      <c r="R165" s="14"/>
      <c r="S165" s="15">
        <f t="shared" si="407"/>
        <v>0</v>
      </c>
      <c r="T165" s="14"/>
      <c r="U165" s="15">
        <f t="shared" si="408"/>
        <v>0</v>
      </c>
      <c r="V165" s="16">
        <f t="shared" si="409"/>
        <v>0</v>
      </c>
      <c r="W165" s="17">
        <f t="shared" si="410"/>
        <v>0</v>
      </c>
    </row>
    <row r="166" spans="1:23" s="144" customFormat="1" ht="17.25" thickBot="1" x14ac:dyDescent="0.25">
      <c r="A166" s="142"/>
      <c r="B166" s="143">
        <f>SUM(B167:B193)</f>
        <v>9</v>
      </c>
      <c r="C166" s="158"/>
      <c r="D166" s="221" t="s">
        <v>62</v>
      </c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2"/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</v>
      </c>
      <c r="D167" s="21" t="str">
        <f>Spieltag!B154</f>
        <v>Lukas Hradecky (A)</v>
      </c>
      <c r="E167" s="12" t="str">
        <f>Spieltag!C154</f>
        <v>Torwart</v>
      </c>
      <c r="F167" s="13" t="s">
        <v>56</v>
      </c>
      <c r="G167" s="14"/>
      <c r="H167" s="15">
        <f t="shared" ref="H167:H169" si="419">IF(G167="x",10,0)</f>
        <v>0</v>
      </c>
      <c r="I167" s="14"/>
      <c r="J167" s="15">
        <f t="shared" ref="J167:J169" si="420">IF((I167="x"),-10,0)</f>
        <v>0</v>
      </c>
      <c r="K167" s="14"/>
      <c r="L167" s="15">
        <f t="shared" ref="L167:L169" si="421">IF((K167="x"),-20,0)</f>
        <v>0</v>
      </c>
      <c r="M167" s="14"/>
      <c r="N167" s="15">
        <f t="shared" ref="N167:N169" si="422">IF((M167="x"),-30,0)</f>
        <v>0</v>
      </c>
      <c r="O167" s="16">
        <f t="shared" ref="O167:O193" si="423">IF(AND($P$6&gt;$Q$6),20,IF($P$6=$Q$6,10,0))</f>
        <v>20</v>
      </c>
      <c r="P167" s="16">
        <f t="shared" ref="P167:P193" si="424">IF(($P$6&lt;&gt;0),$P$6*10,-5)</f>
        <v>30</v>
      </c>
      <c r="Q167" s="16">
        <f>IF(($Q$6&lt;&gt;0),$Q$6*-10,20)</f>
        <v>-20</v>
      </c>
      <c r="R167" s="14"/>
      <c r="S167" s="15">
        <f>R167*20</f>
        <v>0</v>
      </c>
      <c r="T167" s="14"/>
      <c r="U167" s="15">
        <f t="shared" ref="U167:U169" si="425">T167*-15</f>
        <v>0</v>
      </c>
      <c r="V167" s="16">
        <f t="shared" ref="V167:V169" si="426">IF(AND(R167=2),10,IF(R167=3,30,IF(R167=4,50,IF(R167=5,70,0))))</f>
        <v>0</v>
      </c>
      <c r="W167" s="17">
        <f t="shared" ref="W167:W169" si="427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17</v>
      </c>
      <c r="D168" s="21" t="str">
        <f>Spieltag!B155</f>
        <v>Matej Kovar (A)</v>
      </c>
      <c r="E168" s="12" t="str">
        <f>Spieltag!C155</f>
        <v>Torwart</v>
      </c>
      <c r="F168" s="13" t="s">
        <v>56</v>
      </c>
      <c r="G168" s="14"/>
      <c r="H168" s="15">
        <f t="shared" ref="H168" si="428">IF(G168="x",10,0)</f>
        <v>0</v>
      </c>
      <c r="I168" s="14"/>
      <c r="J168" s="15">
        <f t="shared" ref="J168" si="429">IF((I168="x"),-10,0)</f>
        <v>0</v>
      </c>
      <c r="K168" s="14"/>
      <c r="L168" s="15">
        <f t="shared" ref="L168" si="430">IF((K168="x"),-20,0)</f>
        <v>0</v>
      </c>
      <c r="M168" s="14"/>
      <c r="N168" s="15">
        <f t="shared" ref="N168" si="431">IF((M168="x"),-30,0)</f>
        <v>0</v>
      </c>
      <c r="O168" s="16">
        <f t="shared" si="423"/>
        <v>20</v>
      </c>
      <c r="P168" s="16">
        <f t="shared" si="424"/>
        <v>30</v>
      </c>
      <c r="Q168" s="16">
        <f t="shared" ref="Q168:Q170" si="432">IF(($Q$6&lt;&gt;0),$Q$6*-10,20)</f>
        <v>-20</v>
      </c>
      <c r="R168" s="14"/>
      <c r="S168" s="15">
        <f t="shared" ref="S168" si="433">R168*20</f>
        <v>0</v>
      </c>
      <c r="T168" s="14"/>
      <c r="U168" s="15">
        <f t="shared" ref="U168" si="434">T168*-15</f>
        <v>0</v>
      </c>
      <c r="V168" s="16">
        <f t="shared" ref="V168" si="435">IF(AND(R168=2),10,IF(R168=3,30,IF(R168=4,50,IF(R168=5,70,0))))</f>
        <v>0</v>
      </c>
      <c r="W168" s="17">
        <f t="shared" ref="W168" si="436">IF(G168="x",H168+J168+L168+N168+O168+P168+Q168+S168+U168+V168,0)</f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28</v>
      </c>
      <c r="D169" s="21" t="str">
        <f>Spieltag!B156</f>
        <v>Patrick Penz (A)</v>
      </c>
      <c r="E169" s="12" t="str">
        <f>Spieltag!C156</f>
        <v>Torwart</v>
      </c>
      <c r="F169" s="13" t="s">
        <v>56</v>
      </c>
      <c r="G169" s="14"/>
      <c r="H169" s="15">
        <f t="shared" si="419"/>
        <v>0</v>
      </c>
      <c r="I169" s="14"/>
      <c r="J169" s="15">
        <f t="shared" si="420"/>
        <v>0</v>
      </c>
      <c r="K169" s="14"/>
      <c r="L169" s="15">
        <f t="shared" si="421"/>
        <v>0</v>
      </c>
      <c r="M169" s="14"/>
      <c r="N169" s="15">
        <f t="shared" si="422"/>
        <v>0</v>
      </c>
      <c r="O169" s="16">
        <f t="shared" si="423"/>
        <v>20</v>
      </c>
      <c r="P169" s="16">
        <f t="shared" si="424"/>
        <v>30</v>
      </c>
      <c r="Q169" s="16">
        <f t="shared" si="432"/>
        <v>-20</v>
      </c>
      <c r="R169" s="14"/>
      <c r="S169" s="15">
        <f t="shared" ref="S169" si="437">R169*20</f>
        <v>0</v>
      </c>
      <c r="T169" s="14"/>
      <c r="U169" s="15">
        <f t="shared" si="425"/>
        <v>0</v>
      </c>
      <c r="V169" s="16">
        <f t="shared" si="426"/>
        <v>0</v>
      </c>
      <c r="W169" s="17">
        <f t="shared" si="427"/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36</v>
      </c>
      <c r="D170" s="21" t="str">
        <f>Spieltag!B157</f>
        <v>Niklas Lomb</v>
      </c>
      <c r="E170" s="12" t="str">
        <f>Spieltag!C157</f>
        <v>Torwart</v>
      </c>
      <c r="F170" s="13" t="s">
        <v>56</v>
      </c>
      <c r="G170" s="14"/>
      <c r="H170" s="15">
        <f t="shared" ref="H170" si="438">IF(G170="x",10,0)</f>
        <v>0</v>
      </c>
      <c r="I170" s="14"/>
      <c r="J170" s="15">
        <f t="shared" ref="J170" si="439">IF((I170="x"),-10,0)</f>
        <v>0</v>
      </c>
      <c r="K170" s="14"/>
      <c r="L170" s="15">
        <f t="shared" ref="L170" si="440">IF((K170="x"),-20,0)</f>
        <v>0</v>
      </c>
      <c r="M170" s="14"/>
      <c r="N170" s="15">
        <f t="shared" ref="N170" si="441">IF((M170="x"),-30,0)</f>
        <v>0</v>
      </c>
      <c r="O170" s="16">
        <f t="shared" si="423"/>
        <v>20</v>
      </c>
      <c r="P170" s="16">
        <f t="shared" si="424"/>
        <v>30</v>
      </c>
      <c r="Q170" s="16">
        <f t="shared" si="432"/>
        <v>-20</v>
      </c>
      <c r="R170" s="14"/>
      <c r="S170" s="15">
        <f t="shared" ref="S170" si="442">R170*20</f>
        <v>0</v>
      </c>
      <c r="T170" s="14"/>
      <c r="U170" s="15">
        <f t="shared" ref="U170" si="443">T170*-15</f>
        <v>0</v>
      </c>
      <c r="V170" s="16">
        <f t="shared" ref="V170" si="444">IF(AND(R170=2),10,IF(R170=3,30,IF(R170=4,50,IF(R170=5,70,0))))</f>
        <v>0</v>
      </c>
      <c r="W170" s="17">
        <f t="shared" ref="W170" si="445">IF(G170="x",H170+J170+L170+N170+O170+P170+Q170+S170+U170+V170,0)</f>
        <v>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</v>
      </c>
      <c r="D171" s="21" t="str">
        <f>Spieltag!B158</f>
        <v>Piero Hincapie (A)</v>
      </c>
      <c r="E171" s="12" t="str">
        <f>Spieltag!C158</f>
        <v>Abwehr</v>
      </c>
      <c r="F171" s="13" t="s">
        <v>56</v>
      </c>
      <c r="G171" s="14"/>
      <c r="H171" s="15">
        <f t="shared" ref="H171" si="446">IF(G171="x",10,0)</f>
        <v>0</v>
      </c>
      <c r="I171" s="14"/>
      <c r="J171" s="15">
        <f t="shared" ref="J171" si="447">IF((I171="x"),-10,0)</f>
        <v>0</v>
      </c>
      <c r="K171" s="14"/>
      <c r="L171" s="15">
        <f t="shared" ref="L171" si="448">IF((K171="x"),-20,0)</f>
        <v>0</v>
      </c>
      <c r="M171" s="14"/>
      <c r="N171" s="15">
        <f t="shared" ref="N171" si="449">IF((M171="x"),-30,0)</f>
        <v>0</v>
      </c>
      <c r="O171" s="16">
        <f t="shared" si="423"/>
        <v>20</v>
      </c>
      <c r="P171" s="16">
        <f t="shared" si="424"/>
        <v>30</v>
      </c>
      <c r="Q171" s="16">
        <f t="shared" ref="Q171:Q179" si="450">IF(($Q$6&lt;&gt;0),$Q$6*-10,15)</f>
        <v>-20</v>
      </c>
      <c r="R171" s="14"/>
      <c r="S171" s="15">
        <f t="shared" ref="S171" si="451">R171*15</f>
        <v>0</v>
      </c>
      <c r="T171" s="14"/>
      <c r="U171" s="15">
        <f t="shared" ref="U171" si="452">T171*-15</f>
        <v>0</v>
      </c>
      <c r="V171" s="16">
        <f t="shared" ref="V171" si="453">IF(AND(R171=2),10,IF(R171=3,30,IF(R171=4,50,IF(R171=5,70,0))))</f>
        <v>0</v>
      </c>
      <c r="W171" s="17">
        <f t="shared" ref="W171" si="454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</v>
      </c>
      <c r="D172" s="21" t="str">
        <f>Spieltag!B159</f>
        <v>Jonathan Tah</v>
      </c>
      <c r="E172" s="12" t="str">
        <f>Spieltag!C159</f>
        <v>Abwehr</v>
      </c>
      <c r="F172" s="13" t="s">
        <v>56</v>
      </c>
      <c r="G172" s="14"/>
      <c r="H172" s="15">
        <f t="shared" ref="H172:H180" si="455">IF(G172="x",10,0)</f>
        <v>0</v>
      </c>
      <c r="I172" s="14"/>
      <c r="J172" s="15">
        <f t="shared" ref="J172:J180" si="456">IF((I172="x"),-10,0)</f>
        <v>0</v>
      </c>
      <c r="K172" s="14"/>
      <c r="L172" s="15">
        <f t="shared" ref="L172:L180" si="457">IF((K172="x"),-20,0)</f>
        <v>0</v>
      </c>
      <c r="M172" s="14"/>
      <c r="N172" s="15">
        <f t="shared" ref="N172:N180" si="458">IF((M172="x"),-30,0)</f>
        <v>0</v>
      </c>
      <c r="O172" s="16">
        <f t="shared" si="423"/>
        <v>20</v>
      </c>
      <c r="P172" s="16">
        <f t="shared" si="424"/>
        <v>30</v>
      </c>
      <c r="Q172" s="16">
        <f t="shared" si="450"/>
        <v>-20</v>
      </c>
      <c r="R172" s="14"/>
      <c r="S172" s="15">
        <f t="shared" ref="S172:S179" si="459">R172*15</f>
        <v>0</v>
      </c>
      <c r="T172" s="14"/>
      <c r="U172" s="15">
        <f t="shared" ref="U172:U180" si="460">T172*-15</f>
        <v>0</v>
      </c>
      <c r="V172" s="16">
        <f t="shared" ref="V172:V180" si="461">IF(AND(R172=2),10,IF(R172=3,30,IF(R172=4,50,IF(R172=5,70,0))))</f>
        <v>0</v>
      </c>
      <c r="W172" s="17">
        <f t="shared" ref="W172:W180" si="462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6</v>
      </c>
      <c r="D173" s="21" t="str">
        <f>Spieltag!B160</f>
        <v>Odilou Kossounou (A)</v>
      </c>
      <c r="E173" s="12" t="str">
        <f>Spieltag!C160</f>
        <v>Abwehr</v>
      </c>
      <c r="F173" s="13" t="s">
        <v>56</v>
      </c>
      <c r="G173" s="14"/>
      <c r="H173" s="15">
        <f t="shared" si="455"/>
        <v>0</v>
      </c>
      <c r="I173" s="14"/>
      <c r="J173" s="15">
        <f t="shared" si="456"/>
        <v>0</v>
      </c>
      <c r="K173" s="14"/>
      <c r="L173" s="15">
        <f t="shared" si="457"/>
        <v>0</v>
      </c>
      <c r="M173" s="14"/>
      <c r="N173" s="15">
        <f t="shared" si="458"/>
        <v>0</v>
      </c>
      <c r="O173" s="16">
        <f t="shared" si="423"/>
        <v>20</v>
      </c>
      <c r="P173" s="16">
        <f t="shared" si="424"/>
        <v>30</v>
      </c>
      <c r="Q173" s="16">
        <f t="shared" si="450"/>
        <v>-20</v>
      </c>
      <c r="R173" s="14"/>
      <c r="S173" s="15">
        <f t="shared" si="459"/>
        <v>0</v>
      </c>
      <c r="T173" s="14"/>
      <c r="U173" s="15">
        <f t="shared" si="460"/>
        <v>0</v>
      </c>
      <c r="V173" s="16">
        <f t="shared" si="461"/>
        <v>0</v>
      </c>
      <c r="W173" s="17">
        <f t="shared" si="462"/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12</v>
      </c>
      <c r="D174" s="21" t="str">
        <f>Spieltag!B161</f>
        <v>Edmond Tapsoba (A)</v>
      </c>
      <c r="E174" s="12" t="str">
        <f>Spieltag!C161</f>
        <v>Abwehr</v>
      </c>
      <c r="F174" s="13" t="s">
        <v>56</v>
      </c>
      <c r="G174" s="14"/>
      <c r="H174" s="15">
        <f t="shared" si="455"/>
        <v>0</v>
      </c>
      <c r="I174" s="14"/>
      <c r="J174" s="15">
        <f t="shared" si="456"/>
        <v>0</v>
      </c>
      <c r="K174" s="14"/>
      <c r="L174" s="15">
        <f t="shared" si="457"/>
        <v>0</v>
      </c>
      <c r="M174" s="14"/>
      <c r="N174" s="15">
        <f t="shared" si="458"/>
        <v>0</v>
      </c>
      <c r="O174" s="16">
        <f t="shared" si="423"/>
        <v>20</v>
      </c>
      <c r="P174" s="16">
        <f t="shared" si="424"/>
        <v>30</v>
      </c>
      <c r="Q174" s="16">
        <f t="shared" si="450"/>
        <v>-20</v>
      </c>
      <c r="R174" s="14"/>
      <c r="S174" s="15">
        <f t="shared" si="459"/>
        <v>0</v>
      </c>
      <c r="T174" s="14"/>
      <c r="U174" s="15">
        <f t="shared" si="460"/>
        <v>0</v>
      </c>
      <c r="V174" s="16">
        <f t="shared" si="461"/>
        <v>0</v>
      </c>
      <c r="W174" s="17">
        <f t="shared" si="462"/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13</v>
      </c>
      <c r="D175" s="21" t="str">
        <f>Spieltag!B162</f>
        <v>Arthur (A)</v>
      </c>
      <c r="E175" s="12" t="str">
        <f>Spieltag!C162</f>
        <v>Abwehr</v>
      </c>
      <c r="F175" s="13" t="s">
        <v>56</v>
      </c>
      <c r="G175" s="14"/>
      <c r="H175" s="15">
        <f t="shared" si="455"/>
        <v>0</v>
      </c>
      <c r="I175" s="14"/>
      <c r="J175" s="15">
        <f t="shared" si="456"/>
        <v>0</v>
      </c>
      <c r="K175" s="14"/>
      <c r="L175" s="15">
        <f t="shared" si="457"/>
        <v>0</v>
      </c>
      <c r="M175" s="14"/>
      <c r="N175" s="15">
        <f t="shared" si="458"/>
        <v>0</v>
      </c>
      <c r="O175" s="16">
        <f t="shared" si="423"/>
        <v>20</v>
      </c>
      <c r="P175" s="16">
        <f t="shared" si="424"/>
        <v>30</v>
      </c>
      <c r="Q175" s="16">
        <f t="shared" si="450"/>
        <v>-20</v>
      </c>
      <c r="R175" s="14"/>
      <c r="S175" s="15">
        <f t="shared" si="459"/>
        <v>0</v>
      </c>
      <c r="T175" s="14"/>
      <c r="U175" s="15">
        <f t="shared" si="460"/>
        <v>0</v>
      </c>
      <c r="V175" s="16">
        <f t="shared" si="461"/>
        <v>0</v>
      </c>
      <c r="W175" s="17">
        <f t="shared" si="462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20</v>
      </c>
      <c r="D176" s="21" t="str">
        <f>Spieltag!B163</f>
        <v>Alejandro Grimaldi (A)</v>
      </c>
      <c r="E176" s="12" t="str">
        <f>Spieltag!C163</f>
        <v>Abwehr</v>
      </c>
      <c r="F176" s="13" t="s">
        <v>56</v>
      </c>
      <c r="G176" s="14"/>
      <c r="H176" s="15">
        <f t="shared" si="455"/>
        <v>0</v>
      </c>
      <c r="I176" s="14"/>
      <c r="J176" s="15">
        <f t="shared" si="456"/>
        <v>0</v>
      </c>
      <c r="K176" s="14"/>
      <c r="L176" s="15">
        <f t="shared" si="457"/>
        <v>0</v>
      </c>
      <c r="M176" s="14"/>
      <c r="N176" s="15">
        <f t="shared" si="458"/>
        <v>0</v>
      </c>
      <c r="O176" s="16">
        <f t="shared" si="423"/>
        <v>20</v>
      </c>
      <c r="P176" s="16">
        <f t="shared" si="424"/>
        <v>30</v>
      </c>
      <c r="Q176" s="16">
        <f t="shared" si="450"/>
        <v>-20</v>
      </c>
      <c r="R176" s="14"/>
      <c r="S176" s="15">
        <f t="shared" si="459"/>
        <v>0</v>
      </c>
      <c r="T176" s="14"/>
      <c r="U176" s="15">
        <f t="shared" si="460"/>
        <v>0</v>
      </c>
      <c r="V176" s="16">
        <f t="shared" si="461"/>
        <v>0</v>
      </c>
      <c r="W176" s="17">
        <f t="shared" si="462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24</v>
      </c>
      <c r="D177" s="21" t="str">
        <f>Spieltag!B164</f>
        <v>Timothy Fosu-Mensah (A)</v>
      </c>
      <c r="E177" s="12" t="str">
        <f>Spieltag!C164</f>
        <v>Abwehr</v>
      </c>
      <c r="F177" s="13" t="s">
        <v>56</v>
      </c>
      <c r="G177" s="14"/>
      <c r="H177" s="15">
        <f t="shared" si="455"/>
        <v>0</v>
      </c>
      <c r="I177" s="14"/>
      <c r="J177" s="15">
        <f t="shared" si="456"/>
        <v>0</v>
      </c>
      <c r="K177" s="14"/>
      <c r="L177" s="15">
        <f t="shared" si="457"/>
        <v>0</v>
      </c>
      <c r="M177" s="14"/>
      <c r="N177" s="15">
        <f t="shared" si="458"/>
        <v>0</v>
      </c>
      <c r="O177" s="16">
        <f t="shared" si="423"/>
        <v>20</v>
      </c>
      <c r="P177" s="16">
        <f t="shared" si="424"/>
        <v>30</v>
      </c>
      <c r="Q177" s="16">
        <f t="shared" si="450"/>
        <v>-20</v>
      </c>
      <c r="R177" s="14"/>
      <c r="S177" s="15">
        <f t="shared" si="459"/>
        <v>0</v>
      </c>
      <c r="T177" s="14"/>
      <c r="U177" s="15">
        <f t="shared" si="460"/>
        <v>0</v>
      </c>
      <c r="V177" s="16">
        <f t="shared" si="461"/>
        <v>0</v>
      </c>
      <c r="W177" s="17">
        <f t="shared" si="462"/>
        <v>0</v>
      </c>
    </row>
    <row r="178" spans="1:23" ht="10.5" customHeight="1" x14ac:dyDescent="0.2">
      <c r="A178" s="11"/>
      <c r="B178" s="149">
        <f>COUNTA(Spieltag!K165:AA165)</f>
        <v>1</v>
      </c>
      <c r="C178" s="166">
        <f>Spieltag!A165</f>
        <v>30</v>
      </c>
      <c r="D178" s="21" t="str">
        <f>Spieltag!B165</f>
        <v>Jeremie Frimpong (A)</v>
      </c>
      <c r="E178" s="12" t="str">
        <f>Spieltag!C165</f>
        <v>Abwehr</v>
      </c>
      <c r="F178" s="13" t="s">
        <v>56</v>
      </c>
      <c r="G178" s="14" t="s">
        <v>676</v>
      </c>
      <c r="H178" s="15">
        <f t="shared" si="455"/>
        <v>10</v>
      </c>
      <c r="I178" s="14"/>
      <c r="J178" s="15">
        <f t="shared" si="456"/>
        <v>0</v>
      </c>
      <c r="K178" s="14"/>
      <c r="L178" s="15">
        <f t="shared" si="457"/>
        <v>0</v>
      </c>
      <c r="M178" s="14"/>
      <c r="N178" s="15">
        <f t="shared" si="458"/>
        <v>0</v>
      </c>
      <c r="O178" s="16">
        <f t="shared" si="423"/>
        <v>20</v>
      </c>
      <c r="P178" s="16">
        <f t="shared" si="424"/>
        <v>30</v>
      </c>
      <c r="Q178" s="16">
        <f t="shared" si="450"/>
        <v>-20</v>
      </c>
      <c r="R178" s="14">
        <v>1</v>
      </c>
      <c r="S178" s="15">
        <f t="shared" si="459"/>
        <v>15</v>
      </c>
      <c r="T178" s="14"/>
      <c r="U178" s="15">
        <f t="shared" si="460"/>
        <v>0</v>
      </c>
      <c r="V178" s="16">
        <f t="shared" si="461"/>
        <v>0</v>
      </c>
      <c r="W178" s="17">
        <f t="shared" si="462"/>
        <v>55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31</v>
      </c>
      <c r="D179" s="21" t="str">
        <f>Spieltag!B166</f>
        <v>Madi Monamay (A)</v>
      </c>
      <c r="E179" s="12" t="str">
        <f>Spieltag!C166</f>
        <v>Abwehr</v>
      </c>
      <c r="F179" s="13" t="s">
        <v>56</v>
      </c>
      <c r="G179" s="14"/>
      <c r="H179" s="15">
        <f t="shared" si="455"/>
        <v>0</v>
      </c>
      <c r="I179" s="14"/>
      <c r="J179" s="15">
        <f t="shared" si="456"/>
        <v>0</v>
      </c>
      <c r="K179" s="14"/>
      <c r="L179" s="15">
        <f t="shared" si="457"/>
        <v>0</v>
      </c>
      <c r="M179" s="14"/>
      <c r="N179" s="15">
        <f t="shared" si="458"/>
        <v>0</v>
      </c>
      <c r="O179" s="16">
        <f t="shared" si="423"/>
        <v>20</v>
      </c>
      <c r="P179" s="16">
        <f t="shared" si="424"/>
        <v>30</v>
      </c>
      <c r="Q179" s="16">
        <f t="shared" si="450"/>
        <v>-20</v>
      </c>
      <c r="R179" s="14"/>
      <c r="S179" s="15">
        <f t="shared" si="459"/>
        <v>0</v>
      </c>
      <c r="T179" s="14"/>
      <c r="U179" s="15">
        <f t="shared" si="460"/>
        <v>0</v>
      </c>
      <c r="V179" s="16">
        <f t="shared" si="461"/>
        <v>0</v>
      </c>
      <c r="W179" s="17">
        <f t="shared" si="462"/>
        <v>0</v>
      </c>
    </row>
    <row r="180" spans="1:23" ht="10.5" customHeight="1" x14ac:dyDescent="0.2">
      <c r="A180" s="11"/>
      <c r="B180" s="149">
        <f>COUNTA(Spieltag!K167:AA167)</f>
        <v>4</v>
      </c>
      <c r="C180" s="166">
        <f>Spieltag!A167</f>
        <v>7</v>
      </c>
      <c r="D180" s="21" t="str">
        <f>Spieltag!B167</f>
        <v>Jonas Hofmann</v>
      </c>
      <c r="E180" s="12" t="str">
        <f>Spieltag!C167</f>
        <v>Mittelfeld</v>
      </c>
      <c r="F180" s="13" t="s">
        <v>56</v>
      </c>
      <c r="G180" s="14" t="s">
        <v>676</v>
      </c>
      <c r="H180" s="15">
        <f t="shared" si="455"/>
        <v>10</v>
      </c>
      <c r="I180" s="14"/>
      <c r="J180" s="15">
        <f t="shared" si="456"/>
        <v>0</v>
      </c>
      <c r="K180" s="14"/>
      <c r="L180" s="15">
        <f t="shared" si="457"/>
        <v>0</v>
      </c>
      <c r="M180" s="14"/>
      <c r="N180" s="15">
        <f t="shared" si="458"/>
        <v>0</v>
      </c>
      <c r="O180" s="16">
        <f t="shared" si="423"/>
        <v>20</v>
      </c>
      <c r="P180" s="16">
        <f t="shared" si="424"/>
        <v>30</v>
      </c>
      <c r="Q180" s="16">
        <f t="shared" ref="Q180:Q188" si="463">IF(($Q$6&lt;&gt;0),$Q$6*-10,10)</f>
        <v>-20</v>
      </c>
      <c r="R180" s="14"/>
      <c r="S180" s="15">
        <f t="shared" ref="S180:S188" si="464">R180*10</f>
        <v>0</v>
      </c>
      <c r="T180" s="14"/>
      <c r="U180" s="15">
        <f t="shared" si="460"/>
        <v>0</v>
      </c>
      <c r="V180" s="16">
        <f t="shared" si="461"/>
        <v>0</v>
      </c>
      <c r="W180" s="17">
        <f t="shared" si="462"/>
        <v>40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8</v>
      </c>
      <c r="D181" s="21" t="str">
        <f>Spieltag!B168</f>
        <v>Robert Andrich</v>
      </c>
      <c r="E181" s="12" t="str">
        <f>Spieltag!C168</f>
        <v>Mittelfeld</v>
      </c>
      <c r="F181" s="13" t="s">
        <v>56</v>
      </c>
      <c r="G181" s="14"/>
      <c r="H181" s="15">
        <f t="shared" ref="H181:H188" si="465">IF(G181="x",10,0)</f>
        <v>0</v>
      </c>
      <c r="I181" s="14"/>
      <c r="J181" s="15">
        <f t="shared" ref="J181:J188" si="466">IF((I181="x"),-10,0)</f>
        <v>0</v>
      </c>
      <c r="K181" s="14"/>
      <c r="L181" s="15">
        <f t="shared" ref="L181:L188" si="467">IF((K181="x"),-20,0)</f>
        <v>0</v>
      </c>
      <c r="M181" s="14"/>
      <c r="N181" s="15">
        <f t="shared" ref="N181:N188" si="468">IF((M181="x"),-30,0)</f>
        <v>0</v>
      </c>
      <c r="O181" s="16">
        <f t="shared" si="423"/>
        <v>20</v>
      </c>
      <c r="P181" s="16">
        <f t="shared" si="424"/>
        <v>30</v>
      </c>
      <c r="Q181" s="16">
        <f t="shared" si="463"/>
        <v>-20</v>
      </c>
      <c r="R181" s="14"/>
      <c r="S181" s="15">
        <f t="shared" si="464"/>
        <v>0</v>
      </c>
      <c r="T181" s="14"/>
      <c r="U181" s="15">
        <f t="shared" ref="U181:U188" si="469">T181*-15</f>
        <v>0</v>
      </c>
      <c r="V181" s="16">
        <f t="shared" ref="V181:V188" si="470">IF(AND(R181=2),10,IF(R181=3,30,IF(R181=4,50,IF(R181=5,70,0))))</f>
        <v>0</v>
      </c>
      <c r="W181" s="17">
        <f t="shared" ref="W181:W188" si="471">IF(G181="x",H181+J181+L181+N181+O181+P181+Q181+S181+U181+V181,0)</f>
        <v>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11</v>
      </c>
      <c r="D182" s="21" t="str">
        <f>Spieltag!B169</f>
        <v>Nadiem Amiri</v>
      </c>
      <c r="E182" s="12" t="str">
        <f>Spieltag!C169</f>
        <v>Mittelfeld</v>
      </c>
      <c r="F182" s="13" t="s">
        <v>56</v>
      </c>
      <c r="G182" s="14"/>
      <c r="H182" s="15">
        <f t="shared" si="465"/>
        <v>0</v>
      </c>
      <c r="I182" s="14"/>
      <c r="J182" s="15">
        <f t="shared" si="466"/>
        <v>0</v>
      </c>
      <c r="K182" s="14"/>
      <c r="L182" s="15">
        <f t="shared" si="467"/>
        <v>0</v>
      </c>
      <c r="M182" s="14"/>
      <c r="N182" s="15">
        <f t="shared" si="468"/>
        <v>0</v>
      </c>
      <c r="O182" s="16">
        <f t="shared" si="423"/>
        <v>20</v>
      </c>
      <c r="P182" s="16">
        <f t="shared" si="424"/>
        <v>30</v>
      </c>
      <c r="Q182" s="16">
        <f t="shared" si="463"/>
        <v>-20</v>
      </c>
      <c r="R182" s="14"/>
      <c r="S182" s="15">
        <f t="shared" si="464"/>
        <v>0</v>
      </c>
      <c r="T182" s="14"/>
      <c r="U182" s="15">
        <f t="shared" si="469"/>
        <v>0</v>
      </c>
      <c r="V182" s="16">
        <f t="shared" si="470"/>
        <v>0</v>
      </c>
      <c r="W182" s="17">
        <f t="shared" si="471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18</v>
      </c>
      <c r="D183" s="21" t="str">
        <f>Spieltag!B170</f>
        <v>Noah Mbamba (A)</v>
      </c>
      <c r="E183" s="12" t="str">
        <f>Spieltag!C170</f>
        <v>Mittelfeld</v>
      </c>
      <c r="F183" s="13" t="s">
        <v>56</v>
      </c>
      <c r="G183" s="14"/>
      <c r="H183" s="15">
        <f t="shared" si="465"/>
        <v>0</v>
      </c>
      <c r="I183" s="14"/>
      <c r="J183" s="15">
        <f t="shared" si="466"/>
        <v>0</v>
      </c>
      <c r="K183" s="14"/>
      <c r="L183" s="15">
        <f t="shared" si="467"/>
        <v>0</v>
      </c>
      <c r="M183" s="14"/>
      <c r="N183" s="15">
        <f t="shared" si="468"/>
        <v>0</v>
      </c>
      <c r="O183" s="16">
        <f t="shared" si="423"/>
        <v>20</v>
      </c>
      <c r="P183" s="16">
        <f t="shared" si="424"/>
        <v>30</v>
      </c>
      <c r="Q183" s="16">
        <f t="shared" si="463"/>
        <v>-20</v>
      </c>
      <c r="R183" s="14"/>
      <c r="S183" s="15">
        <f t="shared" si="464"/>
        <v>0</v>
      </c>
      <c r="T183" s="14"/>
      <c r="U183" s="15">
        <f t="shared" si="469"/>
        <v>0</v>
      </c>
      <c r="V183" s="16">
        <f t="shared" si="470"/>
        <v>0</v>
      </c>
      <c r="W183" s="17">
        <f t="shared" si="471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25</v>
      </c>
      <c r="D184" s="21" t="str">
        <f>Spieltag!B171</f>
        <v>Exequiel Palacios (A)</v>
      </c>
      <c r="E184" s="12" t="str">
        <f>Spieltag!C171</f>
        <v>Mittelfeld</v>
      </c>
      <c r="F184" s="13" t="s">
        <v>56</v>
      </c>
      <c r="G184" s="14"/>
      <c r="H184" s="15">
        <f t="shared" si="465"/>
        <v>0</v>
      </c>
      <c r="I184" s="14"/>
      <c r="J184" s="15">
        <f t="shared" si="466"/>
        <v>0</v>
      </c>
      <c r="K184" s="14"/>
      <c r="L184" s="15">
        <f t="shared" si="467"/>
        <v>0</v>
      </c>
      <c r="M184" s="14"/>
      <c r="N184" s="15">
        <f t="shared" si="468"/>
        <v>0</v>
      </c>
      <c r="O184" s="16">
        <f t="shared" si="423"/>
        <v>20</v>
      </c>
      <c r="P184" s="16">
        <f t="shared" si="424"/>
        <v>30</v>
      </c>
      <c r="Q184" s="16">
        <f t="shared" si="463"/>
        <v>-20</v>
      </c>
      <c r="R184" s="14"/>
      <c r="S184" s="15">
        <f t="shared" si="464"/>
        <v>0</v>
      </c>
      <c r="T184" s="14"/>
      <c r="U184" s="15">
        <f t="shared" si="469"/>
        <v>0</v>
      </c>
      <c r="V184" s="16">
        <f t="shared" si="470"/>
        <v>0</v>
      </c>
      <c r="W184" s="17">
        <f t="shared" si="471"/>
        <v>0</v>
      </c>
    </row>
    <row r="185" spans="1:23" ht="10.5" customHeight="1" x14ac:dyDescent="0.2">
      <c r="A185" s="11"/>
      <c r="B185" s="149">
        <f>COUNTA(Spieltag!K172:AA172)</f>
        <v>1</v>
      </c>
      <c r="C185" s="166">
        <f>Spieltag!A172</f>
        <v>27</v>
      </c>
      <c r="D185" s="21" t="str">
        <f>Spieltag!B172</f>
        <v>Florian Wirtz</v>
      </c>
      <c r="E185" s="12" t="str">
        <f>Spieltag!C172</f>
        <v>Mittelfeld</v>
      </c>
      <c r="F185" s="13" t="s">
        <v>56</v>
      </c>
      <c r="G185" s="14" t="s">
        <v>676</v>
      </c>
      <c r="H185" s="15">
        <f t="shared" si="465"/>
        <v>10</v>
      </c>
      <c r="I185" s="14"/>
      <c r="J185" s="15">
        <f t="shared" si="466"/>
        <v>0</v>
      </c>
      <c r="K185" s="14"/>
      <c r="L185" s="15">
        <f t="shared" si="467"/>
        <v>0</v>
      </c>
      <c r="M185" s="14"/>
      <c r="N185" s="15">
        <f t="shared" si="468"/>
        <v>0</v>
      </c>
      <c r="O185" s="16">
        <f t="shared" si="423"/>
        <v>20</v>
      </c>
      <c r="P185" s="16">
        <f t="shared" si="424"/>
        <v>30</v>
      </c>
      <c r="Q185" s="16">
        <f t="shared" si="463"/>
        <v>-20</v>
      </c>
      <c r="R185" s="14">
        <v>1</v>
      </c>
      <c r="S185" s="15">
        <f t="shared" si="464"/>
        <v>10</v>
      </c>
      <c r="T185" s="14"/>
      <c r="U185" s="15">
        <f t="shared" si="469"/>
        <v>0</v>
      </c>
      <c r="V185" s="16">
        <f t="shared" si="470"/>
        <v>0</v>
      </c>
      <c r="W185" s="17">
        <f t="shared" si="471"/>
        <v>50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32</v>
      </c>
      <c r="D186" s="21" t="str">
        <f>Spieltag!B173</f>
        <v>Gustavo Puerta (A)</v>
      </c>
      <c r="E186" s="12" t="str">
        <f>Spieltag!C173</f>
        <v>Mittelfeld</v>
      </c>
      <c r="F186" s="13" t="s">
        <v>56</v>
      </c>
      <c r="G186" s="14"/>
      <c r="H186" s="15">
        <f t="shared" si="465"/>
        <v>0</v>
      </c>
      <c r="I186" s="14"/>
      <c r="J186" s="15">
        <f t="shared" si="466"/>
        <v>0</v>
      </c>
      <c r="K186" s="14"/>
      <c r="L186" s="15">
        <f t="shared" si="467"/>
        <v>0</v>
      </c>
      <c r="M186" s="14"/>
      <c r="N186" s="15">
        <f t="shared" si="468"/>
        <v>0</v>
      </c>
      <c r="O186" s="16">
        <f t="shared" si="423"/>
        <v>20</v>
      </c>
      <c r="P186" s="16">
        <f t="shared" si="424"/>
        <v>30</v>
      </c>
      <c r="Q186" s="16">
        <f t="shared" si="463"/>
        <v>-20</v>
      </c>
      <c r="R186" s="14"/>
      <c r="S186" s="15">
        <f t="shared" si="464"/>
        <v>0</v>
      </c>
      <c r="T186" s="14"/>
      <c r="U186" s="15">
        <f t="shared" si="469"/>
        <v>0</v>
      </c>
      <c r="V186" s="16">
        <f t="shared" si="470"/>
        <v>0</v>
      </c>
      <c r="W186" s="17">
        <f t="shared" si="471"/>
        <v>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34</v>
      </c>
      <c r="D187" s="21" t="str">
        <f>Spieltag!B174</f>
        <v>Granit Xhaka (A)</v>
      </c>
      <c r="E187" s="12" t="str">
        <f>Spieltag!C174</f>
        <v>Mittelfeld</v>
      </c>
      <c r="F187" s="13" t="s">
        <v>56</v>
      </c>
      <c r="G187" s="14"/>
      <c r="H187" s="15">
        <f t="shared" si="465"/>
        <v>0</v>
      </c>
      <c r="I187" s="14"/>
      <c r="J187" s="15">
        <f t="shared" si="466"/>
        <v>0</v>
      </c>
      <c r="K187" s="14"/>
      <c r="L187" s="15">
        <f t="shared" si="467"/>
        <v>0</v>
      </c>
      <c r="M187" s="14"/>
      <c r="N187" s="15">
        <f t="shared" si="468"/>
        <v>0</v>
      </c>
      <c r="O187" s="16">
        <f t="shared" si="423"/>
        <v>20</v>
      </c>
      <c r="P187" s="16">
        <f t="shared" si="424"/>
        <v>30</v>
      </c>
      <c r="Q187" s="16">
        <f t="shared" si="463"/>
        <v>-20</v>
      </c>
      <c r="R187" s="14"/>
      <c r="S187" s="15">
        <f t="shared" si="464"/>
        <v>0</v>
      </c>
      <c r="T187" s="14"/>
      <c r="U187" s="15">
        <f t="shared" si="469"/>
        <v>0</v>
      </c>
      <c r="V187" s="16">
        <f t="shared" si="470"/>
        <v>0</v>
      </c>
      <c r="W187" s="17">
        <f t="shared" si="471"/>
        <v>0</v>
      </c>
    </row>
    <row r="188" spans="1:23" ht="10.5" hidden="1" customHeight="1" x14ac:dyDescent="0.2">
      <c r="A188" s="11"/>
      <c r="B188" s="149">
        <f>COUNTA(Spieltag!K175:AA175)</f>
        <v>0</v>
      </c>
      <c r="C188" s="166">
        <f>Spieltag!A175</f>
        <v>47</v>
      </c>
      <c r="D188" s="21" t="str">
        <f>Spieltag!B175</f>
        <v>Ayman Aourir</v>
      </c>
      <c r="E188" s="12" t="str">
        <f>Spieltag!C175</f>
        <v>Mittelfeld</v>
      </c>
      <c r="F188" s="13" t="s">
        <v>56</v>
      </c>
      <c r="G188" s="14"/>
      <c r="H188" s="15">
        <f t="shared" si="465"/>
        <v>0</v>
      </c>
      <c r="I188" s="14"/>
      <c r="J188" s="15">
        <f t="shared" si="466"/>
        <v>0</v>
      </c>
      <c r="K188" s="14"/>
      <c r="L188" s="15">
        <f t="shared" si="467"/>
        <v>0</v>
      </c>
      <c r="M188" s="14"/>
      <c r="N188" s="15">
        <f t="shared" si="468"/>
        <v>0</v>
      </c>
      <c r="O188" s="16">
        <f t="shared" si="423"/>
        <v>20</v>
      </c>
      <c r="P188" s="16">
        <f t="shared" si="424"/>
        <v>30</v>
      </c>
      <c r="Q188" s="16">
        <f t="shared" si="463"/>
        <v>-20</v>
      </c>
      <c r="R188" s="14"/>
      <c r="S188" s="15">
        <f t="shared" si="464"/>
        <v>0</v>
      </c>
      <c r="T188" s="14"/>
      <c r="U188" s="15">
        <f t="shared" si="469"/>
        <v>0</v>
      </c>
      <c r="V188" s="16">
        <f t="shared" si="470"/>
        <v>0</v>
      </c>
      <c r="W188" s="17">
        <f t="shared" si="471"/>
        <v>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9</v>
      </c>
      <c r="D189" s="21" t="str">
        <f>Spieltag!B176</f>
        <v>Sardar Azmoun (A)</v>
      </c>
      <c r="E189" s="12" t="str">
        <f>Spieltag!C176</f>
        <v>Sturm</v>
      </c>
      <c r="F189" s="13" t="s">
        <v>56</v>
      </c>
      <c r="G189" s="14"/>
      <c r="H189" s="15">
        <f t="shared" ref="H189" si="472">IF(G189="x",10,0)</f>
        <v>0</v>
      </c>
      <c r="I189" s="14"/>
      <c r="J189" s="15">
        <f t="shared" ref="J189" si="473">IF((I189="x"),-10,0)</f>
        <v>0</v>
      </c>
      <c r="K189" s="14"/>
      <c r="L189" s="15">
        <f t="shared" ref="L189" si="474">IF((K189="x"),-20,0)</f>
        <v>0</v>
      </c>
      <c r="M189" s="14"/>
      <c r="N189" s="15">
        <f t="shared" ref="N189" si="475">IF((M189="x"),-30,0)</f>
        <v>0</v>
      </c>
      <c r="O189" s="16">
        <f t="shared" si="423"/>
        <v>20</v>
      </c>
      <c r="P189" s="16">
        <f t="shared" si="424"/>
        <v>30</v>
      </c>
      <c r="Q189" s="16">
        <f t="shared" ref="Q189:Q193" si="476">IF(($Q$6&lt;&gt;0),$Q$6*-10,5)</f>
        <v>-20</v>
      </c>
      <c r="R189" s="14"/>
      <c r="S189" s="15">
        <f t="shared" ref="S189" si="477">R189*10</f>
        <v>0</v>
      </c>
      <c r="T189" s="14"/>
      <c r="U189" s="15">
        <f t="shared" ref="U189" si="478">T189*-15</f>
        <v>0</v>
      </c>
      <c r="V189" s="16">
        <f t="shared" ref="V189" si="479">IF(AND(R189=2),10,IF(R189=3,30,IF(R189=4,50,IF(R189=5,70,0))))</f>
        <v>0</v>
      </c>
      <c r="W189" s="17">
        <f t="shared" ref="W189" si="480">IF(G189="x",H189+J189+L189+N189+O189+P189+Q189+S189+U189+V189,0)</f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14</v>
      </c>
      <c r="D190" s="21" t="str">
        <f>Spieltag!B177</f>
        <v>Patrick Schick (A)</v>
      </c>
      <c r="E190" s="12" t="str">
        <f>Spieltag!C177</f>
        <v>Sturm</v>
      </c>
      <c r="F190" s="13" t="s">
        <v>56</v>
      </c>
      <c r="G190" s="14"/>
      <c r="H190" s="15">
        <f t="shared" ref="H190:H193" si="481">IF(G190="x",10,0)</f>
        <v>0</v>
      </c>
      <c r="I190" s="14"/>
      <c r="J190" s="15">
        <f t="shared" ref="J190:J193" si="482">IF((I190="x"),-10,0)</f>
        <v>0</v>
      </c>
      <c r="K190" s="14"/>
      <c r="L190" s="15">
        <f t="shared" ref="L190:L193" si="483">IF((K190="x"),-20,0)</f>
        <v>0</v>
      </c>
      <c r="M190" s="14"/>
      <c r="N190" s="15">
        <f t="shared" ref="N190:N193" si="484">IF((M190="x"),-30,0)</f>
        <v>0</v>
      </c>
      <c r="O190" s="16">
        <f t="shared" si="423"/>
        <v>20</v>
      </c>
      <c r="P190" s="16">
        <f t="shared" si="424"/>
        <v>30</v>
      </c>
      <c r="Q190" s="16">
        <f t="shared" si="476"/>
        <v>-20</v>
      </c>
      <c r="R190" s="14"/>
      <c r="S190" s="15">
        <f t="shared" ref="S190:S193" si="485">R190*10</f>
        <v>0</v>
      </c>
      <c r="T190" s="14"/>
      <c r="U190" s="15">
        <f t="shared" ref="U190:U193" si="486">T190*-15</f>
        <v>0</v>
      </c>
      <c r="V190" s="16">
        <f t="shared" ref="V190:V193" si="487">IF(AND(R190=2),10,IF(R190=3,30,IF(R190=4,50,IF(R190=5,70,0))))</f>
        <v>0</v>
      </c>
      <c r="W190" s="17">
        <f t="shared" ref="W190:W193" si="488">IF(G190="x",H190+J190+L190+N190+O190+P190+Q190+S190+U190+V190,0)</f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21</v>
      </c>
      <c r="D191" s="21" t="str">
        <f>Spieltag!B178</f>
        <v>Amine Adli (A)</v>
      </c>
      <c r="E191" s="12" t="str">
        <f>Spieltag!C178</f>
        <v>Sturm</v>
      </c>
      <c r="F191" s="13" t="s">
        <v>56</v>
      </c>
      <c r="G191" s="14"/>
      <c r="H191" s="15">
        <f t="shared" si="481"/>
        <v>0</v>
      </c>
      <c r="I191" s="14"/>
      <c r="J191" s="15">
        <f t="shared" si="482"/>
        <v>0</v>
      </c>
      <c r="K191" s="14"/>
      <c r="L191" s="15">
        <f t="shared" si="483"/>
        <v>0</v>
      </c>
      <c r="M191" s="14"/>
      <c r="N191" s="15">
        <f t="shared" si="484"/>
        <v>0</v>
      </c>
      <c r="O191" s="16">
        <f t="shared" si="423"/>
        <v>20</v>
      </c>
      <c r="P191" s="16">
        <f t="shared" si="424"/>
        <v>30</v>
      </c>
      <c r="Q191" s="16">
        <f t="shared" si="476"/>
        <v>-20</v>
      </c>
      <c r="R191" s="14"/>
      <c r="S191" s="15">
        <f t="shared" si="485"/>
        <v>0</v>
      </c>
      <c r="T191" s="14"/>
      <c r="U191" s="15">
        <f t="shared" si="486"/>
        <v>0</v>
      </c>
      <c r="V191" s="16">
        <f t="shared" si="487"/>
        <v>0</v>
      </c>
      <c r="W191" s="17">
        <f t="shared" si="488"/>
        <v>0</v>
      </c>
    </row>
    <row r="192" spans="1:23" ht="10.5" customHeight="1" x14ac:dyDescent="0.2">
      <c r="A192" s="11"/>
      <c r="B192" s="149">
        <f>COUNTA(Spieltag!K179:AA179)</f>
        <v>2</v>
      </c>
      <c r="C192" s="166">
        <f>Spieltag!A179</f>
        <v>22</v>
      </c>
      <c r="D192" s="21" t="str">
        <f>Spieltag!B179</f>
        <v>Victor Boniface (A)</v>
      </c>
      <c r="E192" s="12" t="str">
        <f>Spieltag!C179</f>
        <v>Sturm</v>
      </c>
      <c r="F192" s="13" t="s">
        <v>56</v>
      </c>
      <c r="G192" s="14" t="s">
        <v>676</v>
      </c>
      <c r="H192" s="15">
        <f t="shared" si="481"/>
        <v>10</v>
      </c>
      <c r="I192" s="14" t="s">
        <v>676</v>
      </c>
      <c r="J192" s="15">
        <f t="shared" si="482"/>
        <v>-10</v>
      </c>
      <c r="K192" s="14"/>
      <c r="L192" s="15">
        <f t="shared" si="483"/>
        <v>0</v>
      </c>
      <c r="M192" s="14"/>
      <c r="N192" s="15">
        <f t="shared" si="484"/>
        <v>0</v>
      </c>
      <c r="O192" s="16">
        <f t="shared" si="423"/>
        <v>20</v>
      </c>
      <c r="P192" s="16">
        <f t="shared" si="424"/>
        <v>30</v>
      </c>
      <c r="Q192" s="16">
        <f t="shared" si="476"/>
        <v>-20</v>
      </c>
      <c r="R192" s="14"/>
      <c r="S192" s="15">
        <f t="shared" si="485"/>
        <v>0</v>
      </c>
      <c r="T192" s="14"/>
      <c r="U192" s="15">
        <f t="shared" si="486"/>
        <v>0</v>
      </c>
      <c r="V192" s="16">
        <f t="shared" si="487"/>
        <v>0</v>
      </c>
      <c r="W192" s="17">
        <f t="shared" si="488"/>
        <v>30</v>
      </c>
    </row>
    <row r="193" spans="1:23" ht="10.5" customHeight="1" x14ac:dyDescent="0.2">
      <c r="A193" s="11"/>
      <c r="B193" s="149">
        <f>COUNTA(Spieltag!K180:AA180)</f>
        <v>1</v>
      </c>
      <c r="C193" s="166">
        <f>Spieltag!A180</f>
        <v>23</v>
      </c>
      <c r="D193" s="21" t="str">
        <f>Spieltag!B180</f>
        <v>Adam Hlousek (A)</v>
      </c>
      <c r="E193" s="12" t="str">
        <f>Spieltag!C180</f>
        <v>Sturm</v>
      </c>
      <c r="F193" s="13" t="s">
        <v>56</v>
      </c>
      <c r="G193" s="14" t="s">
        <v>676</v>
      </c>
      <c r="H193" s="15">
        <f t="shared" si="481"/>
        <v>10</v>
      </c>
      <c r="I193" s="14"/>
      <c r="J193" s="15">
        <f t="shared" si="482"/>
        <v>0</v>
      </c>
      <c r="K193" s="14"/>
      <c r="L193" s="15">
        <f t="shared" si="483"/>
        <v>0</v>
      </c>
      <c r="M193" s="14"/>
      <c r="N193" s="15">
        <f t="shared" si="484"/>
        <v>0</v>
      </c>
      <c r="O193" s="16">
        <f t="shared" si="423"/>
        <v>20</v>
      </c>
      <c r="P193" s="16">
        <f t="shared" si="424"/>
        <v>30</v>
      </c>
      <c r="Q193" s="16">
        <f t="shared" si="476"/>
        <v>-20</v>
      </c>
      <c r="R193" s="14"/>
      <c r="S193" s="15">
        <f t="shared" si="485"/>
        <v>0</v>
      </c>
      <c r="T193" s="14"/>
      <c r="U193" s="15">
        <f t="shared" si="486"/>
        <v>0</v>
      </c>
      <c r="V193" s="16">
        <f t="shared" si="487"/>
        <v>0</v>
      </c>
      <c r="W193" s="17">
        <f t="shared" si="488"/>
        <v>40</v>
      </c>
    </row>
    <row r="194" spans="1:23" s="144" customFormat="1" ht="17.25" thickBot="1" x14ac:dyDescent="0.25">
      <c r="A194" s="142"/>
      <c r="B194" s="143">
        <f>SUM(B195:B231)</f>
        <v>18</v>
      </c>
      <c r="C194" s="158"/>
      <c r="D194" s="221" t="s">
        <v>106</v>
      </c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2"/>
    </row>
    <row r="195" spans="1:23" ht="10.5" customHeight="1" x14ac:dyDescent="0.2">
      <c r="A195" s="11"/>
      <c r="B195" s="150">
        <f>COUNTA(Spieltag!K182:AA182)</f>
        <v>8</v>
      </c>
      <c r="C195" s="166">
        <f>Spieltag!A182</f>
        <v>1</v>
      </c>
      <c r="D195" s="21" t="str">
        <f>Spieltag!B182</f>
        <v>Kevin Trapp</v>
      </c>
      <c r="E195" s="151" t="str">
        <f>Spieltag!C182</f>
        <v>Torwart</v>
      </c>
      <c r="F195" s="152" t="s">
        <v>103</v>
      </c>
      <c r="G195" s="153" t="s">
        <v>676</v>
      </c>
      <c r="H195" s="154">
        <f>IF(G195="x",10,0)</f>
        <v>10</v>
      </c>
      <c r="I195" s="153"/>
      <c r="J195" s="154">
        <f>IF((I195="x"),-10,0)</f>
        <v>0</v>
      </c>
      <c r="K195" s="153"/>
      <c r="L195" s="154">
        <f>IF((K195="x"),-20,0)</f>
        <v>0</v>
      </c>
      <c r="M195" s="153"/>
      <c r="N195" s="154">
        <f>IF((M195="x"),-30,0)</f>
        <v>0</v>
      </c>
      <c r="O195" s="155">
        <f>IF(AND($V$9&gt;$W$9),20,IF($V$9=$W$9,10,0))</f>
        <v>20</v>
      </c>
      <c r="P195" s="155">
        <f>IF(($V$9&lt;&gt;0),$V$9*10,-5)</f>
        <v>10</v>
      </c>
      <c r="Q195" s="155">
        <f>IF(($W$9&lt;&gt;0),$W$9*-10,20)</f>
        <v>20</v>
      </c>
      <c r="R195" s="153"/>
      <c r="S195" s="154">
        <f>R195*20</f>
        <v>0</v>
      </c>
      <c r="T195" s="153"/>
      <c r="U195" s="154">
        <f>T195*-15</f>
        <v>0</v>
      </c>
      <c r="V195" s="155">
        <f>IF(AND(R195=2),10,IF(R195=3,30,IF(R195=4,50,IF(R195=5,70,0))))</f>
        <v>0</v>
      </c>
      <c r="W195" s="156">
        <f>IF(G195="x",H195+J195+L195+N195+O195+P195+Q195+S195+U195+V195,0)</f>
        <v>60</v>
      </c>
    </row>
    <row r="196" spans="1:23" ht="10.5" hidden="1" customHeight="1" x14ac:dyDescent="0.2">
      <c r="A196" s="11"/>
      <c r="B196" s="150">
        <f>COUNTA(Spieltag!K183:AA183)</f>
        <v>0</v>
      </c>
      <c r="C196" s="166">
        <f>Spieltag!A183</f>
        <v>31</v>
      </c>
      <c r="D196" s="21" t="str">
        <f>Spieltag!B183</f>
        <v>Jens Grahl</v>
      </c>
      <c r="E196" s="151" t="str">
        <f>Spieltag!C183</f>
        <v>Torwart</v>
      </c>
      <c r="F196" s="152" t="s">
        <v>103</v>
      </c>
      <c r="G196" s="153"/>
      <c r="H196" s="154">
        <f t="shared" ref="H196:H197" si="489">IF(G196="x",10,0)</f>
        <v>0</v>
      </c>
      <c r="I196" s="153"/>
      <c r="J196" s="154">
        <f t="shared" ref="J196:J197" si="490">IF((I196="x"),-10,0)</f>
        <v>0</v>
      </c>
      <c r="K196" s="153"/>
      <c r="L196" s="154">
        <f t="shared" ref="L196:L197" si="491">IF((K196="x"),-20,0)</f>
        <v>0</v>
      </c>
      <c r="M196" s="153"/>
      <c r="N196" s="154">
        <f t="shared" ref="N196:N197" si="492">IF((M196="x"),-30,0)</f>
        <v>0</v>
      </c>
      <c r="O196" s="155">
        <f t="shared" ref="O196:O197" si="493">IF(AND($V$9&gt;$W$9),20,IF($V$9=$W$9,10,0))</f>
        <v>20</v>
      </c>
      <c r="P196" s="155">
        <f t="shared" ref="P196:P197" si="494">IF(($V$9&lt;&gt;0),$V$9*10,-5)</f>
        <v>10</v>
      </c>
      <c r="Q196" s="155">
        <f t="shared" ref="Q196:Q197" si="495">IF(($W$9&lt;&gt;0),$W$9*-10,20)</f>
        <v>20</v>
      </c>
      <c r="R196" s="153"/>
      <c r="S196" s="154">
        <f t="shared" ref="S196:S197" si="496">R196*20</f>
        <v>0</v>
      </c>
      <c r="T196" s="153"/>
      <c r="U196" s="154">
        <f t="shared" ref="U196:U197" si="497">T196*-15</f>
        <v>0</v>
      </c>
      <c r="V196" s="155">
        <f t="shared" ref="V196:V197" si="498">IF(AND(R196=2),10,IF(R196=3,30,IF(R196=4,50,IF(R196=5,70,0))))</f>
        <v>0</v>
      </c>
      <c r="W196" s="156">
        <f t="shared" ref="W196:W197" si="499">IF(G196="x",H196+J196+L196+N196+O196+P196+Q196+S196+U196+V196,0)</f>
        <v>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41</v>
      </c>
      <c r="D197" s="21" t="str">
        <f>Spieltag!B184</f>
        <v>Simon Simoni (A)</v>
      </c>
      <c r="E197" s="151" t="str">
        <f>Spieltag!C184</f>
        <v>Torwart</v>
      </c>
      <c r="F197" s="152" t="s">
        <v>103</v>
      </c>
      <c r="G197" s="153"/>
      <c r="H197" s="154">
        <f t="shared" si="489"/>
        <v>0</v>
      </c>
      <c r="I197" s="153"/>
      <c r="J197" s="154">
        <f t="shared" si="490"/>
        <v>0</v>
      </c>
      <c r="K197" s="153"/>
      <c r="L197" s="154">
        <f t="shared" si="491"/>
        <v>0</v>
      </c>
      <c r="M197" s="153"/>
      <c r="N197" s="154">
        <f t="shared" si="492"/>
        <v>0</v>
      </c>
      <c r="O197" s="155">
        <f t="shared" si="493"/>
        <v>20</v>
      </c>
      <c r="P197" s="155">
        <f t="shared" si="494"/>
        <v>10</v>
      </c>
      <c r="Q197" s="155">
        <f t="shared" si="495"/>
        <v>20</v>
      </c>
      <c r="R197" s="153"/>
      <c r="S197" s="154">
        <f t="shared" si="496"/>
        <v>0</v>
      </c>
      <c r="T197" s="153"/>
      <c r="U197" s="154">
        <f t="shared" si="497"/>
        <v>0</v>
      </c>
      <c r="V197" s="155">
        <f t="shared" si="498"/>
        <v>0</v>
      </c>
      <c r="W197" s="156">
        <f t="shared" si="499"/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3</v>
      </c>
      <c r="D198" s="21" t="str">
        <f>Spieltag!B185</f>
        <v>Willian Pacho (A)</v>
      </c>
      <c r="E198" s="151" t="str">
        <f>Spieltag!C185</f>
        <v>Abwehr</v>
      </c>
      <c r="F198" s="152" t="s">
        <v>103</v>
      </c>
      <c r="G198" s="153"/>
      <c r="H198" s="154">
        <f>IF(G198="x",10,0)</f>
        <v>0</v>
      </c>
      <c r="I198" s="153"/>
      <c r="J198" s="154">
        <f>IF((I198="x"),-10,0)</f>
        <v>0</v>
      </c>
      <c r="K198" s="153"/>
      <c r="L198" s="154">
        <f>IF((K198="x"),-20,0)</f>
        <v>0</v>
      </c>
      <c r="M198" s="153"/>
      <c r="N198" s="154">
        <f>IF((M198="x"),-30,0)</f>
        <v>0</v>
      </c>
      <c r="O198" s="155">
        <f t="shared" ref="O198:O207" si="500">IF(AND($V$9&gt;$W$9),20,IF($V$9=$W$9,10,0))</f>
        <v>20</v>
      </c>
      <c r="P198" s="155">
        <f t="shared" ref="P198:P207" si="501">IF(($V$9&lt;&gt;0),$V$9*10,-5)</f>
        <v>10</v>
      </c>
      <c r="Q198" s="155">
        <f t="shared" ref="Q198:Q207" si="502">IF(($W$9&lt;&gt;0),$W$9*-10,15)</f>
        <v>15</v>
      </c>
      <c r="R198" s="153"/>
      <c r="S198" s="154">
        <f>R198*15</f>
        <v>0</v>
      </c>
      <c r="T198" s="153"/>
      <c r="U198" s="154">
        <f>T198*-15</f>
        <v>0</v>
      </c>
      <c r="V198" s="155">
        <f>IF(AND(R198=2),10,IF(R198=3,30,IF(R198=4,50,IF(R198=5,70,0))))</f>
        <v>0</v>
      </c>
      <c r="W198" s="156">
        <f>IF(G198="x",H198+J198+L198+N198+O198+P198+Q198+S198+U198+V198,0)</f>
        <v>0</v>
      </c>
    </row>
    <row r="199" spans="1:23" ht="10.5" customHeight="1" x14ac:dyDescent="0.2">
      <c r="A199" s="11"/>
      <c r="B199" s="150">
        <f>COUNTA(Spieltag!K186:AA186)</f>
        <v>3</v>
      </c>
      <c r="C199" s="166">
        <f>Spieltag!A186</f>
        <v>4</v>
      </c>
      <c r="D199" s="21" t="str">
        <f>Spieltag!B186</f>
        <v>Robin Koch</v>
      </c>
      <c r="E199" s="151" t="str">
        <f>Spieltag!C186</f>
        <v>Abwehr</v>
      </c>
      <c r="F199" s="152" t="s">
        <v>103</v>
      </c>
      <c r="G199" s="153" t="s">
        <v>676</v>
      </c>
      <c r="H199" s="154">
        <f t="shared" ref="H199:H207" si="503">IF(G199="x",10,0)</f>
        <v>10</v>
      </c>
      <c r="I199" s="153" t="s">
        <v>676</v>
      </c>
      <c r="J199" s="154">
        <f t="shared" ref="J199:J207" si="504">IF((I199="x"),-10,0)</f>
        <v>-10</v>
      </c>
      <c r="K199" s="153"/>
      <c r="L199" s="154">
        <f t="shared" ref="L199:L207" si="505">IF((K199="x"),-20,0)</f>
        <v>0</v>
      </c>
      <c r="M199" s="153"/>
      <c r="N199" s="154">
        <f t="shared" ref="N199:N207" si="506">IF((M199="x"),-30,0)</f>
        <v>0</v>
      </c>
      <c r="O199" s="155">
        <f t="shared" si="500"/>
        <v>20</v>
      </c>
      <c r="P199" s="155">
        <f t="shared" si="501"/>
        <v>10</v>
      </c>
      <c r="Q199" s="155">
        <f t="shared" si="502"/>
        <v>15</v>
      </c>
      <c r="R199" s="153"/>
      <c r="S199" s="154">
        <f t="shared" ref="S199:S207" si="507">R199*15</f>
        <v>0</v>
      </c>
      <c r="T199" s="153"/>
      <c r="U199" s="154">
        <f t="shared" ref="U199:U207" si="508">T199*-15</f>
        <v>0</v>
      </c>
      <c r="V199" s="155">
        <f t="shared" ref="V199:V207" si="509">IF(AND(R199=2),10,IF(R199=3,30,IF(R199=4,50,IF(R199=5,70,0))))</f>
        <v>0</v>
      </c>
      <c r="W199" s="156">
        <f t="shared" ref="W199:W207" si="510">IF(G199="x",H199+J199+L199+N199+O199+P199+Q199+S199+U199+V199,0)</f>
        <v>45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5</v>
      </c>
      <c r="D200" s="21" t="str">
        <f>Spieltag!B187</f>
        <v>Hrvoje Smolcic (A)</v>
      </c>
      <c r="E200" s="151" t="str">
        <f>Spieltag!C187</f>
        <v>Abwehr</v>
      </c>
      <c r="F200" s="152" t="s">
        <v>103</v>
      </c>
      <c r="G200" s="153"/>
      <c r="H200" s="154">
        <f t="shared" si="503"/>
        <v>0</v>
      </c>
      <c r="I200" s="153"/>
      <c r="J200" s="154">
        <f t="shared" si="504"/>
        <v>0</v>
      </c>
      <c r="K200" s="153"/>
      <c r="L200" s="154">
        <f t="shared" si="505"/>
        <v>0</v>
      </c>
      <c r="M200" s="153"/>
      <c r="N200" s="154">
        <f t="shared" si="506"/>
        <v>0</v>
      </c>
      <c r="O200" s="155">
        <f t="shared" si="500"/>
        <v>20</v>
      </c>
      <c r="P200" s="155">
        <f t="shared" si="501"/>
        <v>10</v>
      </c>
      <c r="Q200" s="155">
        <f t="shared" si="502"/>
        <v>15</v>
      </c>
      <c r="R200" s="153"/>
      <c r="S200" s="154">
        <f t="shared" si="507"/>
        <v>0</v>
      </c>
      <c r="T200" s="153"/>
      <c r="U200" s="154">
        <f t="shared" si="508"/>
        <v>0</v>
      </c>
      <c r="V200" s="155">
        <f t="shared" si="509"/>
        <v>0</v>
      </c>
      <c r="W200" s="156">
        <f t="shared" si="510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20</v>
      </c>
      <c r="D201" s="21" t="str">
        <f>Spieltag!B188</f>
        <v>Makoto Hasebe (A)</v>
      </c>
      <c r="E201" s="151" t="str">
        <f>Spieltag!C188</f>
        <v>Abwehr</v>
      </c>
      <c r="F201" s="152" t="s">
        <v>103</v>
      </c>
      <c r="G201" s="153"/>
      <c r="H201" s="154">
        <f t="shared" si="503"/>
        <v>0</v>
      </c>
      <c r="I201" s="153"/>
      <c r="J201" s="154">
        <f t="shared" si="504"/>
        <v>0</v>
      </c>
      <c r="K201" s="153"/>
      <c r="L201" s="154">
        <f t="shared" si="505"/>
        <v>0</v>
      </c>
      <c r="M201" s="153"/>
      <c r="N201" s="154">
        <f t="shared" si="506"/>
        <v>0</v>
      </c>
      <c r="O201" s="155">
        <f t="shared" si="500"/>
        <v>20</v>
      </c>
      <c r="P201" s="155">
        <f t="shared" si="501"/>
        <v>10</v>
      </c>
      <c r="Q201" s="155">
        <f t="shared" si="502"/>
        <v>15</v>
      </c>
      <c r="R201" s="153"/>
      <c r="S201" s="154">
        <f t="shared" si="507"/>
        <v>0</v>
      </c>
      <c r="T201" s="153"/>
      <c r="U201" s="154">
        <f t="shared" si="508"/>
        <v>0</v>
      </c>
      <c r="V201" s="155">
        <f t="shared" si="509"/>
        <v>0</v>
      </c>
      <c r="W201" s="156">
        <f t="shared" si="510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24</v>
      </c>
      <c r="D202" s="21" t="str">
        <f>Spieltag!B189</f>
        <v>Aurelio Buta (A)</v>
      </c>
      <c r="E202" s="151" t="str">
        <f>Spieltag!C189</f>
        <v>Abwehr</v>
      </c>
      <c r="F202" s="152" t="s">
        <v>103</v>
      </c>
      <c r="G202" s="153"/>
      <c r="H202" s="154">
        <f t="shared" si="503"/>
        <v>0</v>
      </c>
      <c r="I202" s="153"/>
      <c r="J202" s="154">
        <f t="shared" si="504"/>
        <v>0</v>
      </c>
      <c r="K202" s="153"/>
      <c r="L202" s="154">
        <f t="shared" si="505"/>
        <v>0</v>
      </c>
      <c r="M202" s="153"/>
      <c r="N202" s="154">
        <f t="shared" si="506"/>
        <v>0</v>
      </c>
      <c r="O202" s="155">
        <f t="shared" si="500"/>
        <v>20</v>
      </c>
      <c r="P202" s="155">
        <f t="shared" si="501"/>
        <v>10</v>
      </c>
      <c r="Q202" s="155">
        <f t="shared" si="502"/>
        <v>15</v>
      </c>
      <c r="R202" s="153"/>
      <c r="S202" s="154">
        <f t="shared" si="507"/>
        <v>0</v>
      </c>
      <c r="T202" s="153"/>
      <c r="U202" s="154">
        <f t="shared" si="508"/>
        <v>0</v>
      </c>
      <c r="V202" s="155">
        <f t="shared" si="509"/>
        <v>0</v>
      </c>
      <c r="W202" s="156">
        <f t="shared" si="510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25</v>
      </c>
      <c r="D203" s="21" t="str">
        <f>Spieltag!B190</f>
        <v>Christopher Lenz</v>
      </c>
      <c r="E203" s="151" t="str">
        <f>Spieltag!C190</f>
        <v>Abwehr</v>
      </c>
      <c r="F203" s="152" t="s">
        <v>103</v>
      </c>
      <c r="G203" s="153"/>
      <c r="H203" s="154">
        <f t="shared" si="503"/>
        <v>0</v>
      </c>
      <c r="I203" s="153"/>
      <c r="J203" s="154">
        <f t="shared" si="504"/>
        <v>0</v>
      </c>
      <c r="K203" s="153"/>
      <c r="L203" s="154">
        <f t="shared" si="505"/>
        <v>0</v>
      </c>
      <c r="M203" s="153"/>
      <c r="N203" s="154">
        <f t="shared" si="506"/>
        <v>0</v>
      </c>
      <c r="O203" s="155">
        <f t="shared" si="500"/>
        <v>20</v>
      </c>
      <c r="P203" s="155">
        <f t="shared" si="501"/>
        <v>10</v>
      </c>
      <c r="Q203" s="155">
        <f t="shared" si="502"/>
        <v>15</v>
      </c>
      <c r="R203" s="153"/>
      <c r="S203" s="154">
        <f t="shared" si="507"/>
        <v>0</v>
      </c>
      <c r="T203" s="153"/>
      <c r="U203" s="154">
        <f t="shared" si="508"/>
        <v>0</v>
      </c>
      <c r="V203" s="155">
        <f t="shared" si="509"/>
        <v>0</v>
      </c>
      <c r="W203" s="156">
        <f t="shared" si="510"/>
        <v>0</v>
      </c>
    </row>
    <row r="204" spans="1:23" ht="10.5" customHeight="1" x14ac:dyDescent="0.2">
      <c r="A204" s="11"/>
      <c r="B204" s="150">
        <f>COUNTA(Spieltag!K191:AA191)</f>
        <v>1</v>
      </c>
      <c r="C204" s="166">
        <f>Spieltag!A191</f>
        <v>31</v>
      </c>
      <c r="D204" s="21" t="str">
        <f>Spieltag!B191</f>
        <v>Philipp Max</v>
      </c>
      <c r="E204" s="151" t="str">
        <f>Spieltag!C191</f>
        <v>Abwehr</v>
      </c>
      <c r="F204" s="152" t="s">
        <v>103</v>
      </c>
      <c r="G204" s="153" t="s">
        <v>676</v>
      </c>
      <c r="H204" s="154">
        <f t="shared" si="503"/>
        <v>10</v>
      </c>
      <c r="I204" s="153"/>
      <c r="J204" s="154">
        <f t="shared" si="504"/>
        <v>0</v>
      </c>
      <c r="K204" s="153"/>
      <c r="L204" s="154">
        <f t="shared" si="505"/>
        <v>0</v>
      </c>
      <c r="M204" s="153"/>
      <c r="N204" s="154">
        <f t="shared" si="506"/>
        <v>0</v>
      </c>
      <c r="O204" s="155">
        <f t="shared" si="500"/>
        <v>20</v>
      </c>
      <c r="P204" s="155">
        <f t="shared" si="501"/>
        <v>10</v>
      </c>
      <c r="Q204" s="155">
        <f t="shared" si="502"/>
        <v>15</v>
      </c>
      <c r="R204" s="153"/>
      <c r="S204" s="154">
        <f t="shared" si="507"/>
        <v>0</v>
      </c>
      <c r="T204" s="153"/>
      <c r="U204" s="154">
        <f t="shared" si="508"/>
        <v>0</v>
      </c>
      <c r="V204" s="155">
        <f t="shared" si="509"/>
        <v>0</v>
      </c>
      <c r="W204" s="156">
        <f t="shared" si="510"/>
        <v>55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35</v>
      </c>
      <c r="D205" s="21" t="str">
        <f>Spieltag!B192</f>
        <v>Tuta (A)</v>
      </c>
      <c r="E205" s="151" t="str">
        <f>Spieltag!C192</f>
        <v>Abwehr</v>
      </c>
      <c r="F205" s="152" t="s">
        <v>103</v>
      </c>
      <c r="G205" s="153"/>
      <c r="H205" s="154">
        <f t="shared" si="503"/>
        <v>0</v>
      </c>
      <c r="I205" s="153"/>
      <c r="J205" s="154">
        <f t="shared" si="504"/>
        <v>0</v>
      </c>
      <c r="K205" s="153"/>
      <c r="L205" s="154">
        <f t="shared" si="505"/>
        <v>0</v>
      </c>
      <c r="M205" s="153"/>
      <c r="N205" s="154">
        <f t="shared" si="506"/>
        <v>0</v>
      </c>
      <c r="O205" s="155">
        <f t="shared" si="500"/>
        <v>20</v>
      </c>
      <c r="P205" s="155">
        <f t="shared" si="501"/>
        <v>10</v>
      </c>
      <c r="Q205" s="155">
        <f t="shared" si="502"/>
        <v>15</v>
      </c>
      <c r="R205" s="153"/>
      <c r="S205" s="154">
        <f t="shared" si="507"/>
        <v>0</v>
      </c>
      <c r="T205" s="153"/>
      <c r="U205" s="154">
        <f t="shared" si="508"/>
        <v>0</v>
      </c>
      <c r="V205" s="155">
        <f t="shared" si="509"/>
        <v>0</v>
      </c>
      <c r="W205" s="156">
        <f t="shared" si="510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46</v>
      </c>
      <c r="D206" s="21" t="str">
        <f>Spieltag!B193</f>
        <v>Dario Gebuhr</v>
      </c>
      <c r="E206" s="151" t="str">
        <f>Spieltag!C193</f>
        <v>Abwehr</v>
      </c>
      <c r="F206" s="152" t="s">
        <v>103</v>
      </c>
      <c r="G206" s="153"/>
      <c r="H206" s="154">
        <f t="shared" si="503"/>
        <v>0</v>
      </c>
      <c r="I206" s="153"/>
      <c r="J206" s="154">
        <f t="shared" si="504"/>
        <v>0</v>
      </c>
      <c r="K206" s="153"/>
      <c r="L206" s="154">
        <f t="shared" si="505"/>
        <v>0</v>
      </c>
      <c r="M206" s="153"/>
      <c r="N206" s="154">
        <f t="shared" si="506"/>
        <v>0</v>
      </c>
      <c r="O206" s="155">
        <f t="shared" si="500"/>
        <v>20</v>
      </c>
      <c r="P206" s="155">
        <f t="shared" si="501"/>
        <v>10</v>
      </c>
      <c r="Q206" s="155">
        <f t="shared" si="502"/>
        <v>15</v>
      </c>
      <c r="R206" s="153"/>
      <c r="S206" s="154">
        <f t="shared" si="507"/>
        <v>0</v>
      </c>
      <c r="T206" s="153"/>
      <c r="U206" s="154">
        <f t="shared" si="508"/>
        <v>0</v>
      </c>
      <c r="V206" s="155">
        <f t="shared" si="509"/>
        <v>0</v>
      </c>
      <c r="W206" s="156">
        <f t="shared" si="510"/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47</v>
      </c>
      <c r="D207" s="21" t="str">
        <f>Spieltag!B194</f>
        <v>Elias Baum</v>
      </c>
      <c r="E207" s="151" t="str">
        <f>Spieltag!C194</f>
        <v>Abwehr</v>
      </c>
      <c r="F207" s="152" t="s">
        <v>103</v>
      </c>
      <c r="G207" s="153"/>
      <c r="H207" s="154">
        <f t="shared" si="503"/>
        <v>0</v>
      </c>
      <c r="I207" s="153"/>
      <c r="J207" s="154">
        <f t="shared" si="504"/>
        <v>0</v>
      </c>
      <c r="K207" s="153"/>
      <c r="L207" s="154">
        <f t="shared" si="505"/>
        <v>0</v>
      </c>
      <c r="M207" s="153"/>
      <c r="N207" s="154">
        <f t="shared" si="506"/>
        <v>0</v>
      </c>
      <c r="O207" s="155">
        <f t="shared" si="500"/>
        <v>20</v>
      </c>
      <c r="P207" s="155">
        <f t="shared" si="501"/>
        <v>10</v>
      </c>
      <c r="Q207" s="155">
        <f t="shared" si="502"/>
        <v>15</v>
      </c>
      <c r="R207" s="153"/>
      <c r="S207" s="154">
        <f t="shared" si="507"/>
        <v>0</v>
      </c>
      <c r="T207" s="153"/>
      <c r="U207" s="154">
        <f t="shared" si="508"/>
        <v>0</v>
      </c>
      <c r="V207" s="155">
        <f t="shared" si="509"/>
        <v>0</v>
      </c>
      <c r="W207" s="156">
        <f t="shared" si="510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6</v>
      </c>
      <c r="D208" s="21" t="str">
        <f>Spieltag!B195</f>
        <v>Kristijan Jakic (A)</v>
      </c>
      <c r="E208" s="151" t="str">
        <f>Spieltag!C195</f>
        <v>Mittelfeld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20" si="511">IF(AND($V$9&gt;$W$9),20,IF($V$9=$W$9,10,0))</f>
        <v>20</v>
      </c>
      <c r="P208" s="155">
        <f t="shared" ref="P208:P220" si="512">IF(($V$9&lt;&gt;0),$V$9*10,-5)</f>
        <v>10</v>
      </c>
      <c r="Q208" s="155">
        <f t="shared" ref="Q208:Q220" si="513">IF(($W$9&lt;&gt;0),$W$9*-10,10)</f>
        <v>10</v>
      </c>
      <c r="R208" s="153"/>
      <c r="S208" s="154">
        <f>R208*10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15</v>
      </c>
      <c r="D209" s="21" t="str">
        <f>Spieltag!B196</f>
        <v>Ellyes Skhiri (A)</v>
      </c>
      <c r="E209" s="151" t="str">
        <f>Spieltag!C196</f>
        <v>Mittelfeld</v>
      </c>
      <c r="F209" s="152" t="s">
        <v>103</v>
      </c>
      <c r="G209" s="153"/>
      <c r="H209" s="154">
        <f t="shared" ref="H209:H216" si="514">IF(G209="x",10,0)</f>
        <v>0</v>
      </c>
      <c r="I209" s="153"/>
      <c r="J209" s="154">
        <f t="shared" ref="J209:J216" si="515">IF((I209="x"),-10,0)</f>
        <v>0</v>
      </c>
      <c r="K209" s="153"/>
      <c r="L209" s="154">
        <f t="shared" ref="L209:L216" si="516">IF((K209="x"),-20,0)</f>
        <v>0</v>
      </c>
      <c r="M209" s="153"/>
      <c r="N209" s="154">
        <f t="shared" ref="N209:N216" si="517">IF((M209="x"),-30,0)</f>
        <v>0</v>
      </c>
      <c r="O209" s="155">
        <f t="shared" si="511"/>
        <v>20</v>
      </c>
      <c r="P209" s="155">
        <f t="shared" si="512"/>
        <v>10</v>
      </c>
      <c r="Q209" s="155">
        <f t="shared" si="513"/>
        <v>10</v>
      </c>
      <c r="R209" s="153"/>
      <c r="S209" s="154">
        <f t="shared" ref="S209:S216" si="518">R209*10</f>
        <v>0</v>
      </c>
      <c r="T209" s="153"/>
      <c r="U209" s="154">
        <f t="shared" ref="U209:U216" si="519">T209*-15</f>
        <v>0</v>
      </c>
      <c r="V209" s="155">
        <f t="shared" ref="V209:V216" si="520">IF(AND(R209=2),10,IF(R209=3,30,IF(R209=4,50,IF(R209=5,70,0))))</f>
        <v>0</v>
      </c>
      <c r="W209" s="156">
        <f t="shared" ref="W209:W216" si="521">IF(G209="x",H209+J209+L209+N209+O209+P209+Q209+S209+U209+V209,0)</f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16</v>
      </c>
      <c r="D210" s="21" t="str">
        <f>Spieltag!B197</f>
        <v>Hugo Larsson (A)</v>
      </c>
      <c r="E210" s="151" t="str">
        <f>Spieltag!C197</f>
        <v>Mittelfeld</v>
      </c>
      <c r="F210" s="152" t="s">
        <v>103</v>
      </c>
      <c r="G210" s="153"/>
      <c r="H210" s="154">
        <f t="shared" si="514"/>
        <v>0</v>
      </c>
      <c r="I210" s="153"/>
      <c r="J210" s="154">
        <f t="shared" si="515"/>
        <v>0</v>
      </c>
      <c r="K210" s="153"/>
      <c r="L210" s="154">
        <f t="shared" si="516"/>
        <v>0</v>
      </c>
      <c r="M210" s="153"/>
      <c r="N210" s="154">
        <f t="shared" si="517"/>
        <v>0</v>
      </c>
      <c r="O210" s="155">
        <f t="shared" si="511"/>
        <v>20</v>
      </c>
      <c r="P210" s="155">
        <f t="shared" si="512"/>
        <v>10</v>
      </c>
      <c r="Q210" s="155">
        <f t="shared" si="513"/>
        <v>10</v>
      </c>
      <c r="R210" s="153"/>
      <c r="S210" s="154">
        <f t="shared" si="518"/>
        <v>0</v>
      </c>
      <c r="T210" s="153"/>
      <c r="U210" s="154">
        <f t="shared" si="519"/>
        <v>0</v>
      </c>
      <c r="V210" s="155">
        <f t="shared" si="520"/>
        <v>0</v>
      </c>
      <c r="W210" s="156">
        <f t="shared" si="521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17</v>
      </c>
      <c r="D211" s="21" t="str">
        <f>Spieltag!B198</f>
        <v>Sebastian Rode</v>
      </c>
      <c r="E211" s="151" t="str">
        <f>Spieltag!C198</f>
        <v>Mittelfeld</v>
      </c>
      <c r="F211" s="152" t="s">
        <v>103</v>
      </c>
      <c r="G211" s="153"/>
      <c r="H211" s="154">
        <f t="shared" si="514"/>
        <v>0</v>
      </c>
      <c r="I211" s="153"/>
      <c r="J211" s="154">
        <f t="shared" si="515"/>
        <v>0</v>
      </c>
      <c r="K211" s="153"/>
      <c r="L211" s="154">
        <f t="shared" si="516"/>
        <v>0</v>
      </c>
      <c r="M211" s="153"/>
      <c r="N211" s="154">
        <f t="shared" si="517"/>
        <v>0</v>
      </c>
      <c r="O211" s="155">
        <f t="shared" si="511"/>
        <v>20</v>
      </c>
      <c r="P211" s="155">
        <f t="shared" si="512"/>
        <v>10</v>
      </c>
      <c r="Q211" s="155">
        <f t="shared" si="513"/>
        <v>10</v>
      </c>
      <c r="R211" s="153"/>
      <c r="S211" s="154">
        <f t="shared" si="518"/>
        <v>0</v>
      </c>
      <c r="T211" s="153"/>
      <c r="U211" s="154">
        <f t="shared" si="519"/>
        <v>0</v>
      </c>
      <c r="V211" s="155">
        <f t="shared" si="520"/>
        <v>0</v>
      </c>
      <c r="W211" s="156">
        <f t="shared" si="521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22</v>
      </c>
      <c r="D212" s="21" t="str">
        <f>Spieltag!B199</f>
        <v>Timothy Chandler</v>
      </c>
      <c r="E212" s="151" t="str">
        <f>Spieltag!C199</f>
        <v>Mittelfeld</v>
      </c>
      <c r="F212" s="152" t="s">
        <v>103</v>
      </c>
      <c r="G212" s="153"/>
      <c r="H212" s="154">
        <f t="shared" si="514"/>
        <v>0</v>
      </c>
      <c r="I212" s="153"/>
      <c r="J212" s="154">
        <f t="shared" si="515"/>
        <v>0</v>
      </c>
      <c r="K212" s="153"/>
      <c r="L212" s="154">
        <f t="shared" si="516"/>
        <v>0</v>
      </c>
      <c r="M212" s="153"/>
      <c r="N212" s="154">
        <f t="shared" si="517"/>
        <v>0</v>
      </c>
      <c r="O212" s="155">
        <f t="shared" si="511"/>
        <v>20</v>
      </c>
      <c r="P212" s="155">
        <f t="shared" si="512"/>
        <v>10</v>
      </c>
      <c r="Q212" s="155">
        <f t="shared" si="513"/>
        <v>10</v>
      </c>
      <c r="R212" s="153"/>
      <c r="S212" s="154">
        <f t="shared" si="518"/>
        <v>0</v>
      </c>
      <c r="T212" s="153"/>
      <c r="U212" s="154">
        <f t="shared" si="519"/>
        <v>0</v>
      </c>
      <c r="V212" s="155">
        <f t="shared" si="520"/>
        <v>0</v>
      </c>
      <c r="W212" s="156">
        <f t="shared" si="521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26</v>
      </c>
      <c r="D213" s="21" t="str">
        <f>Spieltag!B200</f>
        <v>Eric Junior Dina Ebimbe (A)</v>
      </c>
      <c r="E213" s="151" t="str">
        <f>Spieltag!C200</f>
        <v>Mittelfeld</v>
      </c>
      <c r="F213" s="152" t="s">
        <v>103</v>
      </c>
      <c r="G213" s="153"/>
      <c r="H213" s="154">
        <f t="shared" si="514"/>
        <v>0</v>
      </c>
      <c r="I213" s="153"/>
      <c r="J213" s="154">
        <f t="shared" si="515"/>
        <v>0</v>
      </c>
      <c r="K213" s="153"/>
      <c r="L213" s="154">
        <f t="shared" si="516"/>
        <v>0</v>
      </c>
      <c r="M213" s="153"/>
      <c r="N213" s="154">
        <f t="shared" si="517"/>
        <v>0</v>
      </c>
      <c r="O213" s="155">
        <f t="shared" si="511"/>
        <v>20</v>
      </c>
      <c r="P213" s="155">
        <f t="shared" si="512"/>
        <v>10</v>
      </c>
      <c r="Q213" s="155">
        <f t="shared" si="513"/>
        <v>10</v>
      </c>
      <c r="R213" s="153"/>
      <c r="S213" s="154">
        <f t="shared" si="518"/>
        <v>0</v>
      </c>
      <c r="T213" s="153"/>
      <c r="U213" s="154">
        <f t="shared" si="519"/>
        <v>0</v>
      </c>
      <c r="V213" s="155">
        <f t="shared" si="520"/>
        <v>0</v>
      </c>
      <c r="W213" s="156">
        <f t="shared" si="521"/>
        <v>0</v>
      </c>
    </row>
    <row r="214" spans="1:23" ht="10.5" customHeight="1" x14ac:dyDescent="0.2">
      <c r="A214" s="11"/>
      <c r="B214" s="150">
        <f>COUNTA(Spieltag!K201:AA201)</f>
        <v>1</v>
      </c>
      <c r="C214" s="166">
        <f>Spieltag!A201</f>
        <v>27</v>
      </c>
      <c r="D214" s="21" t="str">
        <f>Spieltag!B201</f>
        <v>Mario Götze</v>
      </c>
      <c r="E214" s="151" t="str">
        <f>Spieltag!C201</f>
        <v>Mittelfeld</v>
      </c>
      <c r="F214" s="152" t="s">
        <v>103</v>
      </c>
      <c r="G214" s="153" t="s">
        <v>676</v>
      </c>
      <c r="H214" s="154">
        <f t="shared" si="514"/>
        <v>10</v>
      </c>
      <c r="I214" s="153"/>
      <c r="J214" s="154">
        <f t="shared" si="515"/>
        <v>0</v>
      </c>
      <c r="K214" s="153"/>
      <c r="L214" s="154">
        <f t="shared" si="516"/>
        <v>0</v>
      </c>
      <c r="M214" s="153"/>
      <c r="N214" s="154">
        <f t="shared" si="517"/>
        <v>0</v>
      </c>
      <c r="O214" s="155">
        <f t="shared" si="511"/>
        <v>20</v>
      </c>
      <c r="P214" s="155">
        <f t="shared" si="512"/>
        <v>10</v>
      </c>
      <c r="Q214" s="155">
        <f t="shared" si="513"/>
        <v>10</v>
      </c>
      <c r="R214" s="153"/>
      <c r="S214" s="154">
        <f t="shared" si="518"/>
        <v>0</v>
      </c>
      <c r="T214" s="153"/>
      <c r="U214" s="154">
        <f t="shared" si="519"/>
        <v>0</v>
      </c>
      <c r="V214" s="155">
        <f t="shared" si="520"/>
        <v>0</v>
      </c>
      <c r="W214" s="156">
        <f t="shared" si="521"/>
        <v>50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28</v>
      </c>
      <c r="D215" s="21" t="str">
        <f>Spieltag!B202</f>
        <v>Marcel Wenig</v>
      </c>
      <c r="E215" s="151" t="str">
        <f>Spieltag!C202</f>
        <v>Mittelfeld</v>
      </c>
      <c r="F215" s="152" t="s">
        <v>103</v>
      </c>
      <c r="G215" s="153"/>
      <c r="H215" s="154">
        <f t="shared" si="514"/>
        <v>0</v>
      </c>
      <c r="I215" s="153"/>
      <c r="J215" s="154">
        <f t="shared" si="515"/>
        <v>0</v>
      </c>
      <c r="K215" s="153"/>
      <c r="L215" s="154">
        <f t="shared" si="516"/>
        <v>0</v>
      </c>
      <c r="M215" s="153"/>
      <c r="N215" s="154">
        <f t="shared" si="517"/>
        <v>0</v>
      </c>
      <c r="O215" s="155">
        <f t="shared" si="511"/>
        <v>20</v>
      </c>
      <c r="P215" s="155">
        <f t="shared" si="512"/>
        <v>10</v>
      </c>
      <c r="Q215" s="155">
        <f t="shared" si="513"/>
        <v>10</v>
      </c>
      <c r="R215" s="153"/>
      <c r="S215" s="154">
        <f t="shared" si="518"/>
        <v>0</v>
      </c>
      <c r="T215" s="153"/>
      <c r="U215" s="154">
        <f t="shared" si="519"/>
        <v>0</v>
      </c>
      <c r="V215" s="155">
        <f t="shared" si="520"/>
        <v>0</v>
      </c>
      <c r="W215" s="156">
        <f t="shared" si="521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29</v>
      </c>
      <c r="D216" s="21" t="str">
        <f>Spieltag!B203</f>
        <v>Jesper Lindström (A)</v>
      </c>
      <c r="E216" s="151" t="str">
        <f>Spieltag!C203</f>
        <v>Mittelfeld</v>
      </c>
      <c r="F216" s="152" t="s">
        <v>103</v>
      </c>
      <c r="G216" s="153"/>
      <c r="H216" s="154">
        <f t="shared" si="514"/>
        <v>0</v>
      </c>
      <c r="I216" s="153"/>
      <c r="J216" s="154">
        <f t="shared" si="515"/>
        <v>0</v>
      </c>
      <c r="K216" s="153"/>
      <c r="L216" s="154">
        <f t="shared" si="516"/>
        <v>0</v>
      </c>
      <c r="M216" s="153"/>
      <c r="N216" s="154">
        <f t="shared" si="517"/>
        <v>0</v>
      </c>
      <c r="O216" s="155">
        <f t="shared" si="511"/>
        <v>20</v>
      </c>
      <c r="P216" s="155">
        <f t="shared" si="512"/>
        <v>10</v>
      </c>
      <c r="Q216" s="155">
        <f t="shared" si="513"/>
        <v>10</v>
      </c>
      <c r="R216" s="153"/>
      <c r="S216" s="154">
        <f t="shared" si="518"/>
        <v>0</v>
      </c>
      <c r="T216" s="153"/>
      <c r="U216" s="154">
        <f t="shared" si="519"/>
        <v>0</v>
      </c>
      <c r="V216" s="155">
        <f t="shared" si="520"/>
        <v>0</v>
      </c>
      <c r="W216" s="156">
        <f t="shared" si="521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30</v>
      </c>
      <c r="D217" s="21" t="str">
        <f>Spieltag!B204</f>
        <v>Paxton Aaronson (A)</v>
      </c>
      <c r="E217" s="151" t="str">
        <f>Spieltag!C204</f>
        <v>Mittelfeld</v>
      </c>
      <c r="F217" s="152" t="s">
        <v>103</v>
      </c>
      <c r="G217" s="153"/>
      <c r="H217" s="154">
        <f>IF(G217="x",10,0)</f>
        <v>0</v>
      </c>
      <c r="I217" s="153"/>
      <c r="J217" s="154">
        <f>IF((I217="x"),-10,0)</f>
        <v>0</v>
      </c>
      <c r="K217" s="153"/>
      <c r="L217" s="154">
        <f>IF((K217="x"),-20,0)</f>
        <v>0</v>
      </c>
      <c r="M217" s="153"/>
      <c r="N217" s="154">
        <f>IF((M217="x"),-30,0)</f>
        <v>0</v>
      </c>
      <c r="O217" s="155">
        <f t="shared" si="511"/>
        <v>20</v>
      </c>
      <c r="P217" s="155">
        <f t="shared" si="512"/>
        <v>10</v>
      </c>
      <c r="Q217" s="155">
        <f t="shared" si="513"/>
        <v>10</v>
      </c>
      <c r="R217" s="153"/>
      <c r="S217" s="154">
        <f>R217*10</f>
        <v>0</v>
      </c>
      <c r="T217" s="153"/>
      <c r="U217" s="154">
        <f>T217*-15</f>
        <v>0</v>
      </c>
      <c r="V217" s="155">
        <f>IF(AND(R217=2),10,IF(R217=3,30,IF(R217=4,50,IF(R217=5,70,0))))</f>
        <v>0</v>
      </c>
      <c r="W217" s="156">
        <f>IF(G217="x",H217+J217+L217+N217+O217+P217+Q217+S217+U217+V217,0)</f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44</v>
      </c>
      <c r="D218" s="21" t="str">
        <f>Spieltag!B205</f>
        <v>Davis Bautista (A)</v>
      </c>
      <c r="E218" s="151" t="str">
        <f>Spieltag!C205</f>
        <v>Mittelfeld</v>
      </c>
      <c r="F218" s="152" t="s">
        <v>103</v>
      </c>
      <c r="G218" s="153"/>
      <c r="H218" s="154">
        <f t="shared" ref="H218:H220" si="522">IF(G218="x",10,0)</f>
        <v>0</v>
      </c>
      <c r="I218" s="153"/>
      <c r="J218" s="154">
        <f t="shared" ref="J218:J220" si="523">IF((I218="x"),-10,0)</f>
        <v>0</v>
      </c>
      <c r="K218" s="153"/>
      <c r="L218" s="154">
        <f t="shared" ref="L218:L220" si="524">IF((K218="x"),-20,0)</f>
        <v>0</v>
      </c>
      <c r="M218" s="153"/>
      <c r="N218" s="154">
        <f t="shared" ref="N218:N220" si="525">IF((M218="x"),-30,0)</f>
        <v>0</v>
      </c>
      <c r="O218" s="155">
        <f t="shared" si="511"/>
        <v>20</v>
      </c>
      <c r="P218" s="155">
        <f t="shared" si="512"/>
        <v>10</v>
      </c>
      <c r="Q218" s="155">
        <f t="shared" si="513"/>
        <v>10</v>
      </c>
      <c r="R218" s="153"/>
      <c r="S218" s="154">
        <f t="shared" ref="S218:S220" si="526">R218*10</f>
        <v>0</v>
      </c>
      <c r="T218" s="153"/>
      <c r="U218" s="154">
        <f t="shared" ref="U218:U220" si="527">T218*-15</f>
        <v>0</v>
      </c>
      <c r="V218" s="155">
        <f t="shared" ref="V218:V220" si="528">IF(AND(R218=2),10,IF(R218=3,30,IF(R218=4,50,IF(R218=5,70,0))))</f>
        <v>0</v>
      </c>
      <c r="W218" s="156">
        <f t="shared" ref="W218:W220" si="529"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45</v>
      </c>
      <c r="D219" s="21" t="str">
        <f>Spieltag!B206</f>
        <v>Mehdi Loune</v>
      </c>
      <c r="E219" s="151" t="str">
        <f>Spieltag!C206</f>
        <v>Mittelfeld</v>
      </c>
      <c r="F219" s="152" t="s">
        <v>103</v>
      </c>
      <c r="G219" s="153"/>
      <c r="H219" s="154">
        <f t="shared" si="522"/>
        <v>0</v>
      </c>
      <c r="I219" s="153"/>
      <c r="J219" s="154">
        <f t="shared" si="523"/>
        <v>0</v>
      </c>
      <c r="K219" s="153"/>
      <c r="L219" s="154">
        <f t="shared" si="524"/>
        <v>0</v>
      </c>
      <c r="M219" s="153"/>
      <c r="N219" s="154">
        <f t="shared" si="525"/>
        <v>0</v>
      </c>
      <c r="O219" s="155">
        <f t="shared" si="511"/>
        <v>20</v>
      </c>
      <c r="P219" s="155">
        <f t="shared" si="512"/>
        <v>10</v>
      </c>
      <c r="Q219" s="155">
        <f t="shared" si="513"/>
        <v>10</v>
      </c>
      <c r="R219" s="153"/>
      <c r="S219" s="154">
        <f t="shared" si="526"/>
        <v>0</v>
      </c>
      <c r="T219" s="153"/>
      <c r="U219" s="154">
        <f t="shared" si="527"/>
        <v>0</v>
      </c>
      <c r="V219" s="155">
        <f t="shared" si="528"/>
        <v>0</v>
      </c>
      <c r="W219" s="156">
        <f t="shared" si="529"/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49</v>
      </c>
      <c r="D220" s="21" t="str">
        <f>Spieltag!B207</f>
        <v>Harpreet Ghotra</v>
      </c>
      <c r="E220" s="151" t="str">
        <f>Spieltag!C207</f>
        <v>Mittelfeld</v>
      </c>
      <c r="F220" s="152" t="s">
        <v>103</v>
      </c>
      <c r="G220" s="153"/>
      <c r="H220" s="154">
        <f t="shared" si="522"/>
        <v>0</v>
      </c>
      <c r="I220" s="153"/>
      <c r="J220" s="154">
        <f t="shared" si="523"/>
        <v>0</v>
      </c>
      <c r="K220" s="153"/>
      <c r="L220" s="154">
        <f t="shared" si="524"/>
        <v>0</v>
      </c>
      <c r="M220" s="153"/>
      <c r="N220" s="154">
        <f t="shared" si="525"/>
        <v>0</v>
      </c>
      <c r="O220" s="155">
        <f t="shared" si="511"/>
        <v>20</v>
      </c>
      <c r="P220" s="155">
        <f t="shared" si="512"/>
        <v>10</v>
      </c>
      <c r="Q220" s="155">
        <f t="shared" si="513"/>
        <v>10</v>
      </c>
      <c r="R220" s="153"/>
      <c r="S220" s="154">
        <f t="shared" si="526"/>
        <v>0</v>
      </c>
      <c r="T220" s="153"/>
      <c r="U220" s="154">
        <f t="shared" si="527"/>
        <v>0</v>
      </c>
      <c r="V220" s="155">
        <f t="shared" si="528"/>
        <v>0</v>
      </c>
      <c r="W220" s="156">
        <f t="shared" si="529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7</v>
      </c>
      <c r="D221" s="21" t="str">
        <f>Spieltag!B208</f>
        <v>Omar Marmoush (A)</v>
      </c>
      <c r="E221" s="151" t="str">
        <f>Spieltag!C208</f>
        <v>Sturm</v>
      </c>
      <c r="F221" s="152" t="s">
        <v>103</v>
      </c>
      <c r="G221" s="153"/>
      <c r="H221" s="154">
        <f t="shared" ref="H221" si="530">IF(G221="x",10,0)</f>
        <v>0</v>
      </c>
      <c r="I221" s="153"/>
      <c r="J221" s="154">
        <f t="shared" ref="J221" si="531">IF((I221="x"),-10,0)</f>
        <v>0</v>
      </c>
      <c r="K221" s="153"/>
      <c r="L221" s="154">
        <f t="shared" ref="L221" si="532">IF((K221="x"),-20,0)</f>
        <v>0</v>
      </c>
      <c r="M221" s="153"/>
      <c r="N221" s="154">
        <f t="shared" ref="N221" si="533">IF((M221="x"),-30,0)</f>
        <v>0</v>
      </c>
      <c r="O221" s="155">
        <f t="shared" ref="O221:O231" si="534">IF(AND($V$9&gt;$W$9),20,IF($V$9=$W$9,10,0))</f>
        <v>20</v>
      </c>
      <c r="P221" s="155">
        <f t="shared" ref="P221:P231" si="535">IF(($V$9&lt;&gt;0),$V$9*10,-5)</f>
        <v>10</v>
      </c>
      <c r="Q221" s="155">
        <f t="shared" ref="Q221:Q231" si="536">IF(($W$9&lt;&gt;0),$W$9*-10,5)</f>
        <v>5</v>
      </c>
      <c r="R221" s="153"/>
      <c r="S221" s="154">
        <f t="shared" ref="S221" si="537">R221*10</f>
        <v>0</v>
      </c>
      <c r="T221" s="153"/>
      <c r="U221" s="154">
        <f t="shared" ref="U221" si="538">T221*-15</f>
        <v>0</v>
      </c>
      <c r="V221" s="155">
        <f t="shared" ref="V221" si="539">IF(AND(R221=2),10,IF(R221=3,30,IF(R221=4,50,IF(R221=5,70,0))))</f>
        <v>0</v>
      </c>
      <c r="W221" s="156">
        <f t="shared" ref="W221" si="540">IF(G221="x",H221+J221+L221+N221+O221+P221+Q221+S221+U221+V221,0)</f>
        <v>0</v>
      </c>
    </row>
    <row r="222" spans="1:23" ht="10.5" customHeight="1" x14ac:dyDescent="0.2">
      <c r="A222" s="11"/>
      <c r="B222" s="150">
        <f>COUNTA(Spieltag!K209:AA209)</f>
        <v>5</v>
      </c>
      <c r="C222" s="166">
        <f>Spieltag!A209</f>
        <v>9</v>
      </c>
      <c r="D222" s="21" t="str">
        <f>Spieltag!B209</f>
        <v>Randal Kolo Muani (A)</v>
      </c>
      <c r="E222" s="151" t="str">
        <f>Spieltag!C209</f>
        <v>Sturm</v>
      </c>
      <c r="F222" s="152" t="s">
        <v>103</v>
      </c>
      <c r="G222" s="153" t="s">
        <v>676</v>
      </c>
      <c r="H222" s="154">
        <f t="shared" ref="H222:H228" si="541">IF(G222="x",10,0)</f>
        <v>10</v>
      </c>
      <c r="I222" s="153"/>
      <c r="J222" s="154">
        <f t="shared" ref="J222:J228" si="542">IF((I222="x"),-10,0)</f>
        <v>0</v>
      </c>
      <c r="K222" s="153"/>
      <c r="L222" s="154">
        <f t="shared" ref="L222:L228" si="543">IF((K222="x"),-20,0)</f>
        <v>0</v>
      </c>
      <c r="M222" s="153"/>
      <c r="N222" s="154">
        <f t="shared" ref="N222:N228" si="544">IF((M222="x"),-30,0)</f>
        <v>0</v>
      </c>
      <c r="O222" s="155">
        <f t="shared" si="534"/>
        <v>20</v>
      </c>
      <c r="P222" s="155">
        <f t="shared" si="535"/>
        <v>10</v>
      </c>
      <c r="Q222" s="155">
        <f t="shared" si="536"/>
        <v>5</v>
      </c>
      <c r="R222" s="153">
        <v>1</v>
      </c>
      <c r="S222" s="154">
        <f t="shared" ref="S222:S228" si="545">R222*10</f>
        <v>10</v>
      </c>
      <c r="T222" s="153"/>
      <c r="U222" s="154">
        <f t="shared" ref="U222:U228" si="546">T222*-15</f>
        <v>0</v>
      </c>
      <c r="V222" s="155">
        <f t="shared" ref="V222:V228" si="547">IF(AND(R222=2),10,IF(R222=3,30,IF(R222=4,50,IF(R222=5,70,0))))</f>
        <v>0</v>
      </c>
      <c r="W222" s="156">
        <f t="shared" ref="W222:W228" si="548">IF(G222="x",H222+J222+L222+N222+O222+P222+Q222+S222+U222+V222,0)</f>
        <v>55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11</v>
      </c>
      <c r="D223" s="21" t="str">
        <f>Spieltag!B210</f>
        <v>Faride Alidou</v>
      </c>
      <c r="E223" s="151" t="str">
        <f>Spieltag!C210</f>
        <v>Sturm</v>
      </c>
      <c r="F223" s="152" t="s">
        <v>103</v>
      </c>
      <c r="G223" s="153"/>
      <c r="H223" s="154">
        <f t="shared" si="541"/>
        <v>0</v>
      </c>
      <c r="I223" s="153"/>
      <c r="J223" s="154">
        <f t="shared" si="542"/>
        <v>0</v>
      </c>
      <c r="K223" s="153"/>
      <c r="L223" s="154">
        <f t="shared" si="543"/>
        <v>0</v>
      </c>
      <c r="M223" s="153"/>
      <c r="N223" s="154">
        <f t="shared" si="544"/>
        <v>0</v>
      </c>
      <c r="O223" s="155">
        <f t="shared" si="534"/>
        <v>20</v>
      </c>
      <c r="P223" s="155">
        <f t="shared" si="535"/>
        <v>10</v>
      </c>
      <c r="Q223" s="155">
        <f t="shared" si="536"/>
        <v>5</v>
      </c>
      <c r="R223" s="153"/>
      <c r="S223" s="154">
        <f t="shared" si="545"/>
        <v>0</v>
      </c>
      <c r="T223" s="153"/>
      <c r="U223" s="154">
        <f t="shared" si="546"/>
        <v>0</v>
      </c>
      <c r="V223" s="155">
        <f t="shared" si="547"/>
        <v>0</v>
      </c>
      <c r="W223" s="156">
        <f t="shared" si="548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18</v>
      </c>
      <c r="D224" s="21" t="str">
        <f>Spieltag!B211</f>
        <v>Jessic Ngankam</v>
      </c>
      <c r="E224" s="151" t="str">
        <f>Spieltag!C211</f>
        <v>Sturm</v>
      </c>
      <c r="F224" s="152" t="s">
        <v>103</v>
      </c>
      <c r="G224" s="153"/>
      <c r="H224" s="154">
        <f t="shared" si="541"/>
        <v>0</v>
      </c>
      <c r="I224" s="153"/>
      <c r="J224" s="154">
        <f t="shared" si="542"/>
        <v>0</v>
      </c>
      <c r="K224" s="153"/>
      <c r="L224" s="154">
        <f t="shared" si="543"/>
        <v>0</v>
      </c>
      <c r="M224" s="153"/>
      <c r="N224" s="154">
        <f t="shared" si="544"/>
        <v>0</v>
      </c>
      <c r="O224" s="155">
        <f t="shared" si="534"/>
        <v>20</v>
      </c>
      <c r="P224" s="155">
        <f t="shared" si="535"/>
        <v>10</v>
      </c>
      <c r="Q224" s="155">
        <f t="shared" si="536"/>
        <v>5</v>
      </c>
      <c r="R224" s="153"/>
      <c r="S224" s="154">
        <f t="shared" si="545"/>
        <v>0</v>
      </c>
      <c r="T224" s="153"/>
      <c r="U224" s="154">
        <f t="shared" si="546"/>
        <v>0</v>
      </c>
      <c r="V224" s="155">
        <f t="shared" si="547"/>
        <v>0</v>
      </c>
      <c r="W224" s="156">
        <f t="shared" si="548"/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19</v>
      </c>
      <c r="D225" s="21" t="str">
        <f>Spieltag!B212</f>
        <v>Rafael Borre (A)</v>
      </c>
      <c r="E225" s="151" t="str">
        <f>Spieltag!C212</f>
        <v>Sturm</v>
      </c>
      <c r="F225" s="152" t="s">
        <v>103</v>
      </c>
      <c r="G225" s="153"/>
      <c r="H225" s="154">
        <f t="shared" si="541"/>
        <v>0</v>
      </c>
      <c r="I225" s="153"/>
      <c r="J225" s="154">
        <f t="shared" si="542"/>
        <v>0</v>
      </c>
      <c r="K225" s="153"/>
      <c r="L225" s="154">
        <f t="shared" si="543"/>
        <v>0</v>
      </c>
      <c r="M225" s="153"/>
      <c r="N225" s="154">
        <f t="shared" si="544"/>
        <v>0</v>
      </c>
      <c r="O225" s="155">
        <f t="shared" si="534"/>
        <v>20</v>
      </c>
      <c r="P225" s="155">
        <f t="shared" si="535"/>
        <v>10</v>
      </c>
      <c r="Q225" s="155">
        <f t="shared" si="536"/>
        <v>5</v>
      </c>
      <c r="R225" s="153"/>
      <c r="S225" s="154">
        <f t="shared" si="545"/>
        <v>0</v>
      </c>
      <c r="T225" s="153"/>
      <c r="U225" s="154">
        <f t="shared" si="546"/>
        <v>0</v>
      </c>
      <c r="V225" s="155">
        <f t="shared" si="547"/>
        <v>0</v>
      </c>
      <c r="W225" s="156">
        <f t="shared" si="548"/>
        <v>0</v>
      </c>
    </row>
    <row r="226" spans="1:23" ht="10.5" hidden="1" customHeight="1" x14ac:dyDescent="0.2">
      <c r="A226" s="11"/>
      <c r="B226" s="150">
        <f>COUNTA(Spieltag!K213:AA213)</f>
        <v>0</v>
      </c>
      <c r="C226" s="166">
        <f>Spieltag!A213</f>
        <v>21</v>
      </c>
      <c r="D226" s="21" t="str">
        <f>Spieltag!B213</f>
        <v>Lucas Alario (A)</v>
      </c>
      <c r="E226" s="151" t="str">
        <f>Spieltag!C213</f>
        <v>Sturm</v>
      </c>
      <c r="F226" s="152" t="s">
        <v>103</v>
      </c>
      <c r="G226" s="153"/>
      <c r="H226" s="154">
        <f t="shared" si="541"/>
        <v>0</v>
      </c>
      <c r="I226" s="153"/>
      <c r="J226" s="154">
        <f t="shared" si="542"/>
        <v>0</v>
      </c>
      <c r="K226" s="153"/>
      <c r="L226" s="154">
        <f t="shared" si="543"/>
        <v>0</v>
      </c>
      <c r="M226" s="153"/>
      <c r="N226" s="154">
        <f t="shared" si="544"/>
        <v>0</v>
      </c>
      <c r="O226" s="155">
        <f t="shared" si="534"/>
        <v>20</v>
      </c>
      <c r="P226" s="155">
        <f t="shared" si="535"/>
        <v>10</v>
      </c>
      <c r="Q226" s="155">
        <f t="shared" si="536"/>
        <v>5</v>
      </c>
      <c r="R226" s="153"/>
      <c r="S226" s="154">
        <f t="shared" si="545"/>
        <v>0</v>
      </c>
      <c r="T226" s="153"/>
      <c r="U226" s="154">
        <f t="shared" si="546"/>
        <v>0</v>
      </c>
      <c r="V226" s="155">
        <f t="shared" si="547"/>
        <v>0</v>
      </c>
      <c r="W226" s="156">
        <f t="shared" si="548"/>
        <v>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23</v>
      </c>
      <c r="D227" s="21" t="str">
        <f>Spieltag!B214</f>
        <v>Jens Petter Hauge</v>
      </c>
      <c r="E227" s="151" t="str">
        <f>Spieltag!C214</f>
        <v>Sturm</v>
      </c>
      <c r="F227" s="152" t="s">
        <v>103</v>
      </c>
      <c r="G227" s="153"/>
      <c r="H227" s="154">
        <f t="shared" si="541"/>
        <v>0</v>
      </c>
      <c r="I227" s="153"/>
      <c r="J227" s="154">
        <f t="shared" si="542"/>
        <v>0</v>
      </c>
      <c r="K227" s="153"/>
      <c r="L227" s="154">
        <f t="shared" si="543"/>
        <v>0</v>
      </c>
      <c r="M227" s="153"/>
      <c r="N227" s="154">
        <f t="shared" si="544"/>
        <v>0</v>
      </c>
      <c r="O227" s="155">
        <f t="shared" si="534"/>
        <v>20</v>
      </c>
      <c r="P227" s="155">
        <f t="shared" si="535"/>
        <v>10</v>
      </c>
      <c r="Q227" s="155">
        <f t="shared" si="536"/>
        <v>5</v>
      </c>
      <c r="R227" s="153"/>
      <c r="S227" s="154">
        <f t="shared" si="545"/>
        <v>0</v>
      </c>
      <c r="T227" s="153"/>
      <c r="U227" s="154">
        <f t="shared" si="546"/>
        <v>0</v>
      </c>
      <c r="V227" s="155">
        <f t="shared" si="547"/>
        <v>0</v>
      </c>
      <c r="W227" s="156">
        <f t="shared" si="548"/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34</v>
      </c>
      <c r="D228" s="21" t="str">
        <f>Spieltag!B215</f>
        <v>Igor Matanovic (A)</v>
      </c>
      <c r="E228" s="151" t="str">
        <f>Spieltag!C215</f>
        <v>Sturm</v>
      </c>
      <c r="F228" s="152" t="s">
        <v>103</v>
      </c>
      <c r="G228" s="153"/>
      <c r="H228" s="154">
        <f t="shared" si="541"/>
        <v>0</v>
      </c>
      <c r="I228" s="153"/>
      <c r="J228" s="154">
        <f t="shared" si="542"/>
        <v>0</v>
      </c>
      <c r="K228" s="153"/>
      <c r="L228" s="154">
        <f t="shared" si="543"/>
        <v>0</v>
      </c>
      <c r="M228" s="153"/>
      <c r="N228" s="154">
        <f t="shared" si="544"/>
        <v>0</v>
      </c>
      <c r="O228" s="155">
        <f t="shared" si="534"/>
        <v>20</v>
      </c>
      <c r="P228" s="155">
        <f t="shared" si="535"/>
        <v>10</v>
      </c>
      <c r="Q228" s="155">
        <f t="shared" si="536"/>
        <v>5</v>
      </c>
      <c r="R228" s="153"/>
      <c r="S228" s="154">
        <f t="shared" si="545"/>
        <v>0</v>
      </c>
      <c r="T228" s="153"/>
      <c r="U228" s="154">
        <f t="shared" si="546"/>
        <v>0</v>
      </c>
      <c r="V228" s="155">
        <f t="shared" si="547"/>
        <v>0</v>
      </c>
      <c r="W228" s="156">
        <f t="shared" si="548"/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36</v>
      </c>
      <c r="D229" s="21" t="str">
        <f>Spieltag!B216</f>
        <v>Ansgar Knauff</v>
      </c>
      <c r="E229" s="151" t="str">
        <f>Spieltag!C216</f>
        <v>Sturm</v>
      </c>
      <c r="F229" s="152" t="s">
        <v>103</v>
      </c>
      <c r="G229" s="153"/>
      <c r="H229" s="154">
        <f t="shared" ref="H229:H231" si="549">IF(G229="x",10,0)</f>
        <v>0</v>
      </c>
      <c r="I229" s="153"/>
      <c r="J229" s="154">
        <f t="shared" ref="J229:J231" si="550">IF((I229="x"),-10,0)</f>
        <v>0</v>
      </c>
      <c r="K229" s="153"/>
      <c r="L229" s="154">
        <f t="shared" ref="L229:L231" si="551">IF((K229="x"),-20,0)</f>
        <v>0</v>
      </c>
      <c r="M229" s="153"/>
      <c r="N229" s="154">
        <f t="shared" ref="N229:N231" si="552">IF((M229="x"),-30,0)</f>
        <v>0</v>
      </c>
      <c r="O229" s="155">
        <f t="shared" si="534"/>
        <v>20</v>
      </c>
      <c r="P229" s="155">
        <f t="shared" si="535"/>
        <v>10</v>
      </c>
      <c r="Q229" s="155">
        <f t="shared" si="536"/>
        <v>5</v>
      </c>
      <c r="R229" s="153"/>
      <c r="S229" s="154">
        <f t="shared" ref="S229:S231" si="553">R229*10</f>
        <v>0</v>
      </c>
      <c r="T229" s="153"/>
      <c r="U229" s="154">
        <f t="shared" ref="U229:U231" si="554">T229*-15</f>
        <v>0</v>
      </c>
      <c r="V229" s="155">
        <f t="shared" ref="V229:V231" si="555">IF(AND(R229=2),10,IF(R229=3,30,IF(R229=4,50,IF(R229=5,70,0))))</f>
        <v>0</v>
      </c>
      <c r="W229" s="156">
        <f t="shared" ref="W229:W231" si="556">IF(G229="x",H229+J229+L229+N229+O229+P229+Q229+S229+U229+V229,0)</f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43</v>
      </c>
      <c r="D230" s="21" t="str">
        <f>Spieltag!B217</f>
        <v>Noel Futkeu</v>
      </c>
      <c r="E230" s="151" t="str">
        <f>Spieltag!C217</f>
        <v>Sturm</v>
      </c>
      <c r="F230" s="152" t="s">
        <v>103</v>
      </c>
      <c r="G230" s="153"/>
      <c r="H230" s="154">
        <f t="shared" si="549"/>
        <v>0</v>
      </c>
      <c r="I230" s="153"/>
      <c r="J230" s="154">
        <f t="shared" si="550"/>
        <v>0</v>
      </c>
      <c r="K230" s="153"/>
      <c r="L230" s="154">
        <f t="shared" si="551"/>
        <v>0</v>
      </c>
      <c r="M230" s="153"/>
      <c r="N230" s="154">
        <f t="shared" si="552"/>
        <v>0</v>
      </c>
      <c r="O230" s="155">
        <f t="shared" si="534"/>
        <v>20</v>
      </c>
      <c r="P230" s="155">
        <f t="shared" si="535"/>
        <v>10</v>
      </c>
      <c r="Q230" s="155">
        <f t="shared" si="536"/>
        <v>5</v>
      </c>
      <c r="R230" s="153"/>
      <c r="S230" s="154">
        <f t="shared" si="553"/>
        <v>0</v>
      </c>
      <c r="T230" s="153"/>
      <c r="U230" s="154">
        <f t="shared" si="554"/>
        <v>0</v>
      </c>
      <c r="V230" s="155">
        <f t="shared" si="555"/>
        <v>0</v>
      </c>
      <c r="W230" s="156">
        <f t="shared" si="556"/>
        <v>0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0</v>
      </c>
      <c r="D231" s="21" t="str">
        <f>Spieltag!B218</f>
        <v>Nnamdi Collins</v>
      </c>
      <c r="E231" s="151" t="str">
        <f>Spieltag!C218</f>
        <v>Sturm</v>
      </c>
      <c r="F231" s="152" t="s">
        <v>103</v>
      </c>
      <c r="G231" s="153"/>
      <c r="H231" s="154">
        <f t="shared" si="549"/>
        <v>0</v>
      </c>
      <c r="I231" s="153"/>
      <c r="J231" s="154">
        <f t="shared" si="550"/>
        <v>0</v>
      </c>
      <c r="K231" s="153"/>
      <c r="L231" s="154">
        <f t="shared" si="551"/>
        <v>0</v>
      </c>
      <c r="M231" s="153"/>
      <c r="N231" s="154">
        <f t="shared" si="552"/>
        <v>0</v>
      </c>
      <c r="O231" s="155">
        <f t="shared" si="534"/>
        <v>20</v>
      </c>
      <c r="P231" s="155">
        <f t="shared" si="535"/>
        <v>10</v>
      </c>
      <c r="Q231" s="155">
        <f t="shared" si="536"/>
        <v>5</v>
      </c>
      <c r="R231" s="153"/>
      <c r="S231" s="154">
        <f t="shared" si="553"/>
        <v>0</v>
      </c>
      <c r="T231" s="153"/>
      <c r="U231" s="154">
        <f t="shared" si="554"/>
        <v>0</v>
      </c>
      <c r="V231" s="155">
        <f t="shared" si="555"/>
        <v>0</v>
      </c>
      <c r="W231" s="156">
        <f t="shared" si="556"/>
        <v>0</v>
      </c>
    </row>
    <row r="232" spans="1:23" s="144" customFormat="1" ht="17.25" thickBot="1" x14ac:dyDescent="0.25">
      <c r="A232" s="142"/>
      <c r="B232" s="143">
        <f>SUM(B233:B263)</f>
        <v>8</v>
      </c>
      <c r="C232" s="158"/>
      <c r="D232" s="221" t="s">
        <v>31</v>
      </c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2"/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1</v>
      </c>
      <c r="D233" s="21" t="str">
        <f>Spieltag!B220</f>
        <v>Koen Casteels (A)</v>
      </c>
      <c r="E233" s="12" t="str">
        <f>Spieltag!C220</f>
        <v>Torwart</v>
      </c>
      <c r="F233" s="13" t="s">
        <v>55</v>
      </c>
      <c r="G233" s="14"/>
      <c r="H233" s="15">
        <f>IF(G233="x",10,0)</f>
        <v>0</v>
      </c>
      <c r="I233" s="14"/>
      <c r="J233" s="15">
        <f>IF((I233="x"),-10,0)</f>
        <v>0</v>
      </c>
      <c r="K233" s="14"/>
      <c r="L233" s="15">
        <f>IF((K233="x"),-20,0)</f>
        <v>0</v>
      </c>
      <c r="M233" s="14"/>
      <c r="N233" s="15">
        <f>IF((M233="x"),-30,0)</f>
        <v>0</v>
      </c>
      <c r="O233" s="16">
        <f t="shared" ref="O233:O259" si="557">IF(AND($P$11&gt;$Q$11),20,IF($P$11=$Q$11,10,0))</f>
        <v>20</v>
      </c>
      <c r="P233" s="16">
        <f t="shared" ref="P233:P259" si="558">IF(($P$11&lt;&gt;0),$P$11*10,-5)</f>
        <v>20</v>
      </c>
      <c r="Q233" s="16">
        <f>IF(($Q$11&lt;&gt;0),$Q$11*-10,20)</f>
        <v>20</v>
      </c>
      <c r="R233" s="14"/>
      <c r="S233" s="15">
        <f>R233*20</f>
        <v>0</v>
      </c>
      <c r="T233" s="14"/>
      <c r="U233" s="15">
        <f>T233*-15</f>
        <v>0</v>
      </c>
      <c r="V233" s="16">
        <f>IF(AND(R233=2),10,IF(R233=3,30,IF(R233=4,50,IF(R233=5,70,0))))</f>
        <v>0</v>
      </c>
      <c r="W233" s="17">
        <f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12</v>
      </c>
      <c r="D234" s="21" t="str">
        <f>Spieltag!B221</f>
        <v>Pavao Pervan (A)</v>
      </c>
      <c r="E234" s="12" t="str">
        <f>Spieltag!C221</f>
        <v>Torwart</v>
      </c>
      <c r="F234" s="13" t="s">
        <v>55</v>
      </c>
      <c r="G234" s="14"/>
      <c r="H234" s="15">
        <f t="shared" ref="H234:H236" si="559">IF(G234="x",10,0)</f>
        <v>0</v>
      </c>
      <c r="I234" s="14"/>
      <c r="J234" s="15">
        <f t="shared" ref="J234:J236" si="560">IF((I234="x"),-10,0)</f>
        <v>0</v>
      </c>
      <c r="K234" s="14"/>
      <c r="L234" s="15">
        <f t="shared" ref="L234:L236" si="561">IF((K234="x"),-20,0)</f>
        <v>0</v>
      </c>
      <c r="M234" s="14"/>
      <c r="N234" s="15">
        <f t="shared" ref="N234:N236" si="562">IF((M234="x"),-30,0)</f>
        <v>0</v>
      </c>
      <c r="O234" s="16">
        <f t="shared" si="557"/>
        <v>20</v>
      </c>
      <c r="P234" s="16">
        <f t="shared" si="558"/>
        <v>20</v>
      </c>
      <c r="Q234" s="16">
        <f t="shared" ref="Q234:Q236" si="563">IF(($Q$11&lt;&gt;0),$Q$11*-10,20)</f>
        <v>20</v>
      </c>
      <c r="R234" s="14"/>
      <c r="S234" s="15">
        <f t="shared" ref="S234:S236" si="564">R234*20</f>
        <v>0</v>
      </c>
      <c r="T234" s="14"/>
      <c r="U234" s="15">
        <f t="shared" ref="U234:U236" si="565">T234*-15</f>
        <v>0</v>
      </c>
      <c r="V234" s="16">
        <f t="shared" ref="V234:V236" si="566">IF(AND(R234=2),10,IF(R234=3,30,IF(R234=4,50,IF(R234=5,70,0))))</f>
        <v>0</v>
      </c>
      <c r="W234" s="17">
        <f t="shared" ref="W234:W236" si="567">IF(G234="x",H234+J234+L234+N234+O234+P234+Q234+S234+U234+V234,0)</f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30</v>
      </c>
      <c r="D235" s="21" t="str">
        <f>Spieltag!B222</f>
        <v>Niklas Klinger</v>
      </c>
      <c r="E235" s="12" t="str">
        <f>Spieltag!C222</f>
        <v>Torwart</v>
      </c>
      <c r="F235" s="13" t="s">
        <v>55</v>
      </c>
      <c r="G235" s="14"/>
      <c r="H235" s="15">
        <f t="shared" si="559"/>
        <v>0</v>
      </c>
      <c r="I235" s="14"/>
      <c r="J235" s="15">
        <f t="shared" si="560"/>
        <v>0</v>
      </c>
      <c r="K235" s="14"/>
      <c r="L235" s="15">
        <f t="shared" si="561"/>
        <v>0</v>
      </c>
      <c r="M235" s="14"/>
      <c r="N235" s="15">
        <f t="shared" si="562"/>
        <v>0</v>
      </c>
      <c r="O235" s="16">
        <f t="shared" si="557"/>
        <v>20</v>
      </c>
      <c r="P235" s="16">
        <f t="shared" si="558"/>
        <v>20</v>
      </c>
      <c r="Q235" s="16">
        <f t="shared" si="563"/>
        <v>20</v>
      </c>
      <c r="R235" s="14"/>
      <c r="S235" s="15">
        <f t="shared" si="564"/>
        <v>0</v>
      </c>
      <c r="T235" s="14"/>
      <c r="U235" s="15">
        <f t="shared" si="565"/>
        <v>0</v>
      </c>
      <c r="V235" s="16">
        <f t="shared" si="566"/>
        <v>0</v>
      </c>
      <c r="W235" s="17">
        <f t="shared" si="567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35</v>
      </c>
      <c r="D236" s="21" t="str">
        <f>Spieltag!B223</f>
        <v>Philipp Schulze</v>
      </c>
      <c r="E236" s="12" t="str">
        <f>Spieltag!C223</f>
        <v>Torwart</v>
      </c>
      <c r="F236" s="13" t="s">
        <v>55</v>
      </c>
      <c r="G236" s="14"/>
      <c r="H236" s="15">
        <f t="shared" si="559"/>
        <v>0</v>
      </c>
      <c r="I236" s="14"/>
      <c r="J236" s="15">
        <f t="shared" si="560"/>
        <v>0</v>
      </c>
      <c r="K236" s="14"/>
      <c r="L236" s="15">
        <f t="shared" si="561"/>
        <v>0</v>
      </c>
      <c r="M236" s="14"/>
      <c r="N236" s="15">
        <f t="shared" si="562"/>
        <v>0</v>
      </c>
      <c r="O236" s="16">
        <f t="shared" si="557"/>
        <v>20</v>
      </c>
      <c r="P236" s="16">
        <f t="shared" si="558"/>
        <v>20</v>
      </c>
      <c r="Q236" s="16">
        <f t="shared" si="563"/>
        <v>20</v>
      </c>
      <c r="R236" s="14"/>
      <c r="S236" s="15">
        <f t="shared" si="564"/>
        <v>0</v>
      </c>
      <c r="T236" s="14"/>
      <c r="U236" s="15">
        <f t="shared" si="565"/>
        <v>0</v>
      </c>
      <c r="V236" s="16">
        <f t="shared" si="566"/>
        <v>0</v>
      </c>
      <c r="W236" s="17">
        <f t="shared" si="567"/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2</v>
      </c>
      <c r="D237" s="21" t="str">
        <f>Spieltag!B224</f>
        <v>Kilian Fischer</v>
      </c>
      <c r="E237" s="12" t="str">
        <f>Spieltag!C224</f>
        <v>Abwehr</v>
      </c>
      <c r="F237" s="13" t="s">
        <v>55</v>
      </c>
      <c r="G237" s="14"/>
      <c r="H237" s="15">
        <f t="shared" ref="H237" si="568">IF(G237="x",10,0)</f>
        <v>0</v>
      </c>
      <c r="I237" s="14"/>
      <c r="J237" s="15">
        <f t="shared" ref="J237" si="569">IF((I237="x"),-10,0)</f>
        <v>0</v>
      </c>
      <c r="K237" s="14"/>
      <c r="L237" s="15">
        <f t="shared" ref="L237" si="570">IF((K237="x"),-20,0)</f>
        <v>0</v>
      </c>
      <c r="M237" s="14"/>
      <c r="N237" s="15">
        <f t="shared" ref="N237" si="571">IF((M237="x"),-30,0)</f>
        <v>0</v>
      </c>
      <c r="O237" s="16">
        <f t="shared" si="557"/>
        <v>20</v>
      </c>
      <c r="P237" s="16">
        <f t="shared" si="558"/>
        <v>20</v>
      </c>
      <c r="Q237" s="16">
        <f t="shared" ref="Q237:Q245" si="572">IF(($Q$11&lt;&gt;0),$Q$11*-10,15)</f>
        <v>15</v>
      </c>
      <c r="R237" s="14"/>
      <c r="S237" s="15">
        <f t="shared" ref="S237" si="573">R237*15</f>
        <v>0</v>
      </c>
      <c r="T237" s="14"/>
      <c r="U237" s="15">
        <f t="shared" ref="U237" si="574">T237*-15</f>
        <v>0</v>
      </c>
      <c r="V237" s="16">
        <f t="shared" ref="V237" si="575">IF(AND(R237=2),10,IF(R237=3,30,IF(R237=4,50,IF(R237=5,70,0))))</f>
        <v>0</v>
      </c>
      <c r="W237" s="17">
        <f t="shared" ref="W237" si="576">IF(G237="x",H237+J237+L237+N237+O237+P237+Q237+S237+U237+V237,0)</f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</v>
      </c>
      <c r="D238" s="21" t="str">
        <f>Spieltag!B225</f>
        <v>Sebastiaan Bornauw (A)</v>
      </c>
      <c r="E238" s="12" t="str">
        <f>Spieltag!C225</f>
        <v>Abwehr</v>
      </c>
      <c r="F238" s="13" t="s">
        <v>55</v>
      </c>
      <c r="G238" s="14"/>
      <c r="H238" s="15">
        <f t="shared" ref="H238:H245" si="577">IF(G238="x",10,0)</f>
        <v>0</v>
      </c>
      <c r="I238" s="14"/>
      <c r="J238" s="15">
        <f t="shared" ref="J238:J245" si="578">IF((I238="x"),-10,0)</f>
        <v>0</v>
      </c>
      <c r="K238" s="14"/>
      <c r="L238" s="15">
        <f t="shared" ref="L238:L245" si="579">IF((K238="x"),-20,0)</f>
        <v>0</v>
      </c>
      <c r="M238" s="14"/>
      <c r="N238" s="15">
        <f t="shared" ref="N238:N245" si="580">IF((M238="x"),-30,0)</f>
        <v>0</v>
      </c>
      <c r="O238" s="16">
        <f t="shared" si="557"/>
        <v>20</v>
      </c>
      <c r="P238" s="16">
        <f t="shared" si="558"/>
        <v>20</v>
      </c>
      <c r="Q238" s="16">
        <f t="shared" si="572"/>
        <v>15</v>
      </c>
      <c r="R238" s="14"/>
      <c r="S238" s="15">
        <f t="shared" ref="S238:S245" si="581">R238*15</f>
        <v>0</v>
      </c>
      <c r="T238" s="14"/>
      <c r="U238" s="15">
        <f t="shared" ref="U238:U245" si="582">T238*-15</f>
        <v>0</v>
      </c>
      <c r="V238" s="16">
        <f t="shared" ref="V238:V245" si="583">IF(AND(R238=2),10,IF(R238=3,30,IF(R238=4,50,IF(R238=5,70,0))))</f>
        <v>0</v>
      </c>
      <c r="W238" s="17">
        <f t="shared" ref="W238:W245" si="584">IF(G238="x",H238+J238+L238+N238+O238+P238+Q238+S238+U238+V238,0)</f>
        <v>0</v>
      </c>
    </row>
    <row r="239" spans="1:23" ht="10.5" customHeight="1" x14ac:dyDescent="0.2">
      <c r="A239" s="11"/>
      <c r="B239" s="149">
        <f>COUNTA(Spieltag!K226:AA226)</f>
        <v>2</v>
      </c>
      <c r="C239" s="166">
        <f>Spieltag!A226</f>
        <v>4</v>
      </c>
      <c r="D239" s="21" t="str">
        <f>Spieltag!B226</f>
        <v>Maxence Lacroix (A)</v>
      </c>
      <c r="E239" s="12" t="str">
        <f>Spieltag!C226</f>
        <v>Abwehr</v>
      </c>
      <c r="F239" s="13" t="s">
        <v>55</v>
      </c>
      <c r="G239" s="14" t="s">
        <v>676</v>
      </c>
      <c r="H239" s="15">
        <f t="shared" si="577"/>
        <v>10</v>
      </c>
      <c r="I239" s="14"/>
      <c r="J239" s="15">
        <f t="shared" si="578"/>
        <v>0</v>
      </c>
      <c r="K239" s="14"/>
      <c r="L239" s="15">
        <f t="shared" si="579"/>
        <v>0</v>
      </c>
      <c r="M239" s="14"/>
      <c r="N239" s="15">
        <f t="shared" si="580"/>
        <v>0</v>
      </c>
      <c r="O239" s="16">
        <f t="shared" si="557"/>
        <v>20</v>
      </c>
      <c r="P239" s="16">
        <f t="shared" si="558"/>
        <v>20</v>
      </c>
      <c r="Q239" s="16">
        <f t="shared" si="572"/>
        <v>15</v>
      </c>
      <c r="R239" s="14"/>
      <c r="S239" s="15">
        <f t="shared" si="581"/>
        <v>0</v>
      </c>
      <c r="T239" s="14"/>
      <c r="U239" s="15">
        <f t="shared" si="582"/>
        <v>0</v>
      </c>
      <c r="V239" s="16">
        <f t="shared" si="583"/>
        <v>0</v>
      </c>
      <c r="W239" s="17">
        <f t="shared" si="584"/>
        <v>65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8</v>
      </c>
      <c r="D240" s="21" t="str">
        <f>Spieltag!B227</f>
        <v>Nicolas Cozza (A)</v>
      </c>
      <c r="E240" s="12" t="str">
        <f>Spieltag!C227</f>
        <v>Abwehr</v>
      </c>
      <c r="F240" s="13" t="s">
        <v>55</v>
      </c>
      <c r="G240" s="14"/>
      <c r="H240" s="15">
        <f t="shared" si="577"/>
        <v>0</v>
      </c>
      <c r="I240" s="14"/>
      <c r="J240" s="15">
        <f t="shared" si="578"/>
        <v>0</v>
      </c>
      <c r="K240" s="14"/>
      <c r="L240" s="15">
        <f t="shared" si="579"/>
        <v>0</v>
      </c>
      <c r="M240" s="14"/>
      <c r="N240" s="15">
        <f t="shared" si="580"/>
        <v>0</v>
      </c>
      <c r="O240" s="16">
        <f t="shared" si="557"/>
        <v>20</v>
      </c>
      <c r="P240" s="16">
        <f t="shared" si="558"/>
        <v>20</v>
      </c>
      <c r="Q240" s="16">
        <f t="shared" si="572"/>
        <v>15</v>
      </c>
      <c r="R240" s="14"/>
      <c r="S240" s="15">
        <f t="shared" si="581"/>
        <v>0</v>
      </c>
      <c r="T240" s="14"/>
      <c r="U240" s="15">
        <f t="shared" si="582"/>
        <v>0</v>
      </c>
      <c r="V240" s="16">
        <f t="shared" si="583"/>
        <v>0</v>
      </c>
      <c r="W240" s="17">
        <f t="shared" si="584"/>
        <v>0</v>
      </c>
    </row>
    <row r="241" spans="1:23" ht="10.5" customHeight="1" x14ac:dyDescent="0.2">
      <c r="A241" s="11"/>
      <c r="B241" s="149">
        <f>COUNTA(Spieltag!K228:AA228)</f>
        <v>1</v>
      </c>
      <c r="C241" s="166">
        <f>Spieltag!A228</f>
        <v>13</v>
      </c>
      <c r="D241" s="21" t="str">
        <f>Spieltag!B228</f>
        <v>Rogerio (A)</v>
      </c>
      <c r="E241" s="12" t="str">
        <f>Spieltag!C228</f>
        <v>Abwehr</v>
      </c>
      <c r="F241" s="13" t="s">
        <v>55</v>
      </c>
      <c r="G241" s="14" t="s">
        <v>59</v>
      </c>
      <c r="H241" s="15">
        <f t="shared" si="577"/>
        <v>0</v>
      </c>
      <c r="I241" s="14"/>
      <c r="J241" s="15">
        <f t="shared" si="578"/>
        <v>0</v>
      </c>
      <c r="K241" s="14"/>
      <c r="L241" s="15">
        <f t="shared" si="579"/>
        <v>0</v>
      </c>
      <c r="M241" s="14"/>
      <c r="N241" s="15">
        <f t="shared" si="580"/>
        <v>0</v>
      </c>
      <c r="O241" s="16">
        <f t="shared" si="557"/>
        <v>20</v>
      </c>
      <c r="P241" s="16">
        <f t="shared" si="558"/>
        <v>20</v>
      </c>
      <c r="Q241" s="16">
        <f t="shared" si="572"/>
        <v>15</v>
      </c>
      <c r="R241" s="14"/>
      <c r="S241" s="15">
        <f t="shared" si="581"/>
        <v>0</v>
      </c>
      <c r="T241" s="14"/>
      <c r="U241" s="15">
        <f t="shared" si="582"/>
        <v>0</v>
      </c>
      <c r="V241" s="16">
        <f t="shared" si="583"/>
        <v>0</v>
      </c>
      <c r="W241" s="17">
        <f t="shared" si="584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21</v>
      </c>
      <c r="D242" s="21" t="str">
        <f>Spieltag!B229</f>
        <v>Joakim Maehle (A)</v>
      </c>
      <c r="E242" s="12" t="str">
        <f>Spieltag!C229</f>
        <v>Abwehr</v>
      </c>
      <c r="F242" s="13" t="s">
        <v>55</v>
      </c>
      <c r="G242" s="14"/>
      <c r="H242" s="15">
        <f t="shared" ref="H242" si="585">IF(G242="x",10,0)</f>
        <v>0</v>
      </c>
      <c r="I242" s="14"/>
      <c r="J242" s="15">
        <f t="shared" ref="J242" si="586">IF((I242="x"),-10,0)</f>
        <v>0</v>
      </c>
      <c r="K242" s="14"/>
      <c r="L242" s="15">
        <f t="shared" ref="L242" si="587">IF((K242="x"),-20,0)</f>
        <v>0</v>
      </c>
      <c r="M242" s="14"/>
      <c r="N242" s="15">
        <f t="shared" ref="N242" si="588">IF((M242="x"),-30,0)</f>
        <v>0</v>
      </c>
      <c r="O242" s="16">
        <f t="shared" si="557"/>
        <v>20</v>
      </c>
      <c r="P242" s="16">
        <f t="shared" si="558"/>
        <v>20</v>
      </c>
      <c r="Q242" s="16">
        <f t="shared" si="572"/>
        <v>15</v>
      </c>
      <c r="R242" s="14"/>
      <c r="S242" s="15">
        <f t="shared" ref="S242" si="589">R242*15</f>
        <v>0</v>
      </c>
      <c r="T242" s="14"/>
      <c r="U242" s="15">
        <f t="shared" ref="U242" si="590">T242*-15</f>
        <v>0</v>
      </c>
      <c r="V242" s="16">
        <f t="shared" ref="V242" si="591">IF(AND(R242=2),10,IF(R242=3,30,IF(R242=4,50,IF(R242=5,70,0))))</f>
        <v>0</v>
      </c>
      <c r="W242" s="17">
        <f t="shared" ref="W242" si="592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25</v>
      </c>
      <c r="D243" s="21" t="str">
        <f>Spieltag!B230</f>
        <v>Moritz Jenz (A)</v>
      </c>
      <c r="E243" s="12" t="str">
        <f>Spieltag!C230</f>
        <v>Abwehr</v>
      </c>
      <c r="F243" s="13" t="s">
        <v>55</v>
      </c>
      <c r="G243" s="14"/>
      <c r="H243" s="15">
        <f t="shared" si="577"/>
        <v>0</v>
      </c>
      <c r="I243" s="14"/>
      <c r="J243" s="15">
        <f t="shared" si="578"/>
        <v>0</v>
      </c>
      <c r="K243" s="14"/>
      <c r="L243" s="15">
        <f t="shared" si="579"/>
        <v>0</v>
      </c>
      <c r="M243" s="14"/>
      <c r="N243" s="15">
        <f t="shared" si="580"/>
        <v>0</v>
      </c>
      <c r="O243" s="16">
        <f t="shared" si="557"/>
        <v>20</v>
      </c>
      <c r="P243" s="16">
        <f t="shared" si="558"/>
        <v>20</v>
      </c>
      <c r="Q243" s="16">
        <f t="shared" si="572"/>
        <v>15</v>
      </c>
      <c r="R243" s="14"/>
      <c r="S243" s="15">
        <f t="shared" si="581"/>
        <v>0</v>
      </c>
      <c r="T243" s="14"/>
      <c r="U243" s="15">
        <f t="shared" si="582"/>
        <v>0</v>
      </c>
      <c r="V243" s="16">
        <f t="shared" si="583"/>
        <v>0</v>
      </c>
      <c r="W243" s="17">
        <f t="shared" si="584"/>
        <v>0</v>
      </c>
    </row>
    <row r="244" spans="1:23" ht="10.5" customHeight="1" x14ac:dyDescent="0.2">
      <c r="A244" s="11"/>
      <c r="B244" s="149">
        <f>COUNTA(Spieltag!K231:AA231)</f>
        <v>1</v>
      </c>
      <c r="C244" s="166">
        <f>Spieltag!A231</f>
        <v>33</v>
      </c>
      <c r="D244" s="21" t="str">
        <f>Spieltag!B231</f>
        <v>Cedric Zesiger (A)</v>
      </c>
      <c r="E244" s="12" t="str">
        <f>Spieltag!C231</f>
        <v>Abwehr</v>
      </c>
      <c r="F244" s="13" t="s">
        <v>55</v>
      </c>
      <c r="G244" s="14" t="s">
        <v>676</v>
      </c>
      <c r="H244" s="15">
        <f t="shared" si="577"/>
        <v>10</v>
      </c>
      <c r="I244" s="14"/>
      <c r="J244" s="15">
        <f t="shared" si="578"/>
        <v>0</v>
      </c>
      <c r="K244" s="14"/>
      <c r="L244" s="15">
        <f t="shared" si="579"/>
        <v>0</v>
      </c>
      <c r="M244" s="14"/>
      <c r="N244" s="15">
        <f t="shared" si="580"/>
        <v>0</v>
      </c>
      <c r="O244" s="16">
        <f t="shared" si="557"/>
        <v>20</v>
      </c>
      <c r="P244" s="16">
        <f t="shared" si="558"/>
        <v>20</v>
      </c>
      <c r="Q244" s="16">
        <f t="shared" si="572"/>
        <v>15</v>
      </c>
      <c r="R244" s="14"/>
      <c r="S244" s="15">
        <f t="shared" si="581"/>
        <v>0</v>
      </c>
      <c r="T244" s="14"/>
      <c r="U244" s="15">
        <f t="shared" si="582"/>
        <v>0</v>
      </c>
      <c r="V244" s="16">
        <f t="shared" si="583"/>
        <v>0</v>
      </c>
      <c r="W244" s="17">
        <f t="shared" si="584"/>
        <v>65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37</v>
      </c>
      <c r="D245" s="21" t="str">
        <f>Spieltag!B232</f>
        <v>Felix Lange</v>
      </c>
      <c r="E245" s="12" t="str">
        <f>Spieltag!C232</f>
        <v>Abwehr</v>
      </c>
      <c r="F245" s="13" t="s">
        <v>55</v>
      </c>
      <c r="G245" s="14"/>
      <c r="H245" s="15">
        <f t="shared" si="577"/>
        <v>0</v>
      </c>
      <c r="I245" s="14"/>
      <c r="J245" s="15">
        <f t="shared" si="578"/>
        <v>0</v>
      </c>
      <c r="K245" s="14"/>
      <c r="L245" s="15">
        <f t="shared" si="579"/>
        <v>0</v>
      </c>
      <c r="M245" s="14"/>
      <c r="N245" s="15">
        <f t="shared" si="580"/>
        <v>0</v>
      </c>
      <c r="O245" s="16">
        <f t="shared" si="557"/>
        <v>20</v>
      </c>
      <c r="P245" s="16">
        <f t="shared" si="558"/>
        <v>20</v>
      </c>
      <c r="Q245" s="16">
        <f t="shared" si="572"/>
        <v>15</v>
      </c>
      <c r="R245" s="14"/>
      <c r="S245" s="15">
        <f t="shared" si="581"/>
        <v>0</v>
      </c>
      <c r="T245" s="14"/>
      <c r="U245" s="15">
        <f t="shared" si="582"/>
        <v>0</v>
      </c>
      <c r="V245" s="16">
        <f t="shared" si="583"/>
        <v>0</v>
      </c>
      <c r="W245" s="17">
        <f t="shared" si="584"/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6</v>
      </c>
      <c r="D246" s="21" t="str">
        <f>Spieltag!B233</f>
        <v>Aster Vranckx (A)</v>
      </c>
      <c r="E246" s="12" t="str">
        <f>Spieltag!C233</f>
        <v>Mittelfeld</v>
      </c>
      <c r="F246" s="13" t="s">
        <v>55</v>
      </c>
      <c r="G246" s="14"/>
      <c r="H246" s="15">
        <f t="shared" ref="H246" si="593">IF(G246="x",10,0)</f>
        <v>0</v>
      </c>
      <c r="I246" s="14"/>
      <c r="J246" s="15">
        <f t="shared" ref="J246" si="594">IF((I246="x"),-10,0)</f>
        <v>0</v>
      </c>
      <c r="K246" s="14"/>
      <c r="L246" s="15">
        <f t="shared" ref="L246" si="595">IF((K246="x"),-20,0)</f>
        <v>0</v>
      </c>
      <c r="M246" s="14"/>
      <c r="N246" s="15">
        <f t="shared" ref="N246" si="596">IF((M246="x"),-30,0)</f>
        <v>0</v>
      </c>
      <c r="O246" s="16">
        <f t="shared" si="557"/>
        <v>20</v>
      </c>
      <c r="P246" s="16">
        <f t="shared" si="558"/>
        <v>20</v>
      </c>
      <c r="Q246" s="16">
        <f t="shared" ref="Q246:Q259" si="597">IF(($Q$11&lt;&gt;0),$Q$11*-10,10)</f>
        <v>10</v>
      </c>
      <c r="R246" s="14"/>
      <c r="S246" s="15">
        <f t="shared" ref="S246" si="598">R246*10</f>
        <v>0</v>
      </c>
      <c r="T246" s="14"/>
      <c r="U246" s="15">
        <f t="shared" ref="U246" si="599">T246*-15</f>
        <v>0</v>
      </c>
      <c r="V246" s="16">
        <f t="shared" ref="V246" si="600">IF(AND(R246=2),10,IF(R246=3,30,IF(R246=4,50,IF(R246=5,70,0))))</f>
        <v>0</v>
      </c>
      <c r="W246" s="17">
        <f t="shared" ref="W246" si="601">IF(G246="x",H246+J246+L246+N246+O246+P246+Q246+S246+U246+V246,0)</f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7</v>
      </c>
      <c r="D247" s="21" t="str">
        <f>Spieltag!B234</f>
        <v>Vaclav Cerny (A)</v>
      </c>
      <c r="E247" s="12" t="str">
        <f>Spieltag!C234</f>
        <v>Mittelfeld</v>
      </c>
      <c r="F247" s="13" t="s">
        <v>55</v>
      </c>
      <c r="G247" s="14"/>
      <c r="H247" s="15">
        <f t="shared" ref="H247:H259" si="602">IF(G247="x",10,0)</f>
        <v>0</v>
      </c>
      <c r="I247" s="14"/>
      <c r="J247" s="15">
        <f t="shared" ref="J247:J259" si="603">IF((I247="x"),-10,0)</f>
        <v>0</v>
      </c>
      <c r="K247" s="14"/>
      <c r="L247" s="15">
        <f t="shared" ref="L247:L259" si="604">IF((K247="x"),-20,0)</f>
        <v>0</v>
      </c>
      <c r="M247" s="14"/>
      <c r="N247" s="15">
        <f t="shared" ref="N247:N259" si="605">IF((M247="x"),-30,0)</f>
        <v>0</v>
      </c>
      <c r="O247" s="16">
        <f t="shared" si="557"/>
        <v>20</v>
      </c>
      <c r="P247" s="16">
        <f t="shared" si="558"/>
        <v>20</v>
      </c>
      <c r="Q247" s="16">
        <f t="shared" si="597"/>
        <v>10</v>
      </c>
      <c r="R247" s="14"/>
      <c r="S247" s="15">
        <f t="shared" ref="S247:S259" si="606">R247*10</f>
        <v>0</v>
      </c>
      <c r="T247" s="14"/>
      <c r="U247" s="15">
        <f t="shared" ref="U247:U259" si="607">T247*-15</f>
        <v>0</v>
      </c>
      <c r="V247" s="16">
        <f t="shared" ref="V247:V259" si="608">IF(AND(R247=2),10,IF(R247=3,30,IF(R247=4,50,IF(R247=5,70,0))))</f>
        <v>0</v>
      </c>
      <c r="W247" s="17">
        <f t="shared" ref="W247:W259" si="609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16</v>
      </c>
      <c r="D248" s="21" t="str">
        <f>Spieltag!B235</f>
        <v>Jakub Kaminski (A)</v>
      </c>
      <c r="E248" s="12" t="str">
        <f>Spieltag!C235</f>
        <v>Mittelfeld</v>
      </c>
      <c r="F248" s="13" t="s">
        <v>55</v>
      </c>
      <c r="G248" s="14"/>
      <c r="H248" s="15">
        <f t="shared" si="602"/>
        <v>0</v>
      </c>
      <c r="I248" s="14"/>
      <c r="J248" s="15">
        <f t="shared" si="603"/>
        <v>0</v>
      </c>
      <c r="K248" s="14"/>
      <c r="L248" s="15">
        <f t="shared" si="604"/>
        <v>0</v>
      </c>
      <c r="M248" s="14"/>
      <c r="N248" s="15">
        <f t="shared" si="605"/>
        <v>0</v>
      </c>
      <c r="O248" s="16">
        <f t="shared" si="557"/>
        <v>20</v>
      </c>
      <c r="P248" s="16">
        <f t="shared" si="558"/>
        <v>20</v>
      </c>
      <c r="Q248" s="16">
        <f t="shared" si="597"/>
        <v>10</v>
      </c>
      <c r="R248" s="14"/>
      <c r="S248" s="15">
        <f t="shared" si="606"/>
        <v>0</v>
      </c>
      <c r="T248" s="14"/>
      <c r="U248" s="15">
        <f t="shared" si="607"/>
        <v>0</v>
      </c>
      <c r="V248" s="16">
        <f t="shared" si="608"/>
        <v>0</v>
      </c>
      <c r="W248" s="17">
        <f t="shared" si="609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17</v>
      </c>
      <c r="D249" s="21" t="str">
        <f>Spieltag!B236</f>
        <v>Maximilian Philipp</v>
      </c>
      <c r="E249" s="12" t="str">
        <f>Spieltag!C236</f>
        <v>Mittelfeld</v>
      </c>
      <c r="F249" s="13" t="s">
        <v>55</v>
      </c>
      <c r="G249" s="14"/>
      <c r="H249" s="15">
        <f t="shared" si="602"/>
        <v>0</v>
      </c>
      <c r="I249" s="14"/>
      <c r="J249" s="15">
        <f t="shared" si="603"/>
        <v>0</v>
      </c>
      <c r="K249" s="14"/>
      <c r="L249" s="15">
        <f t="shared" si="604"/>
        <v>0</v>
      </c>
      <c r="M249" s="14"/>
      <c r="N249" s="15">
        <f t="shared" si="605"/>
        <v>0</v>
      </c>
      <c r="O249" s="16">
        <f t="shared" si="557"/>
        <v>20</v>
      </c>
      <c r="P249" s="16">
        <f t="shared" si="558"/>
        <v>20</v>
      </c>
      <c r="Q249" s="16">
        <f t="shared" si="597"/>
        <v>10</v>
      </c>
      <c r="R249" s="14"/>
      <c r="S249" s="15">
        <f t="shared" si="606"/>
        <v>0</v>
      </c>
      <c r="T249" s="14"/>
      <c r="U249" s="15">
        <f t="shared" si="607"/>
        <v>0</v>
      </c>
      <c r="V249" s="16">
        <f t="shared" si="608"/>
        <v>0</v>
      </c>
      <c r="W249" s="17">
        <f t="shared" si="609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19</v>
      </c>
      <c r="D250" s="21" t="str">
        <f>Spieltag!B237</f>
        <v>Lovro Majer (A)</v>
      </c>
      <c r="E250" s="12" t="str">
        <f>Spieltag!C237</f>
        <v>Mittelfeld</v>
      </c>
      <c r="F250" s="13" t="s">
        <v>55</v>
      </c>
      <c r="G250" s="14"/>
      <c r="H250" s="15">
        <f t="shared" ref="H250" si="610">IF(G250="x",10,0)</f>
        <v>0</v>
      </c>
      <c r="I250" s="14"/>
      <c r="J250" s="15">
        <f t="shared" ref="J250" si="611">IF((I250="x"),-10,0)</f>
        <v>0</v>
      </c>
      <c r="K250" s="14"/>
      <c r="L250" s="15">
        <f t="shared" ref="L250" si="612">IF((K250="x"),-20,0)</f>
        <v>0</v>
      </c>
      <c r="M250" s="14"/>
      <c r="N250" s="15">
        <f t="shared" ref="N250" si="613">IF((M250="x"),-30,0)</f>
        <v>0</v>
      </c>
      <c r="O250" s="16">
        <f t="shared" si="557"/>
        <v>20</v>
      </c>
      <c r="P250" s="16">
        <f t="shared" si="558"/>
        <v>20</v>
      </c>
      <c r="Q250" s="16">
        <f t="shared" si="597"/>
        <v>10</v>
      </c>
      <c r="R250" s="14"/>
      <c r="S250" s="15">
        <f t="shared" ref="S250" si="614">R250*10</f>
        <v>0</v>
      </c>
      <c r="T250" s="14"/>
      <c r="U250" s="15">
        <f t="shared" ref="U250" si="615">T250*-15</f>
        <v>0</v>
      </c>
      <c r="V250" s="16">
        <f t="shared" ref="V250" si="616">IF(AND(R250=2),10,IF(R250=3,30,IF(R250=4,50,IF(R250=5,70,0))))</f>
        <v>0</v>
      </c>
      <c r="W250" s="17">
        <f t="shared" ref="W250" si="617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20</v>
      </c>
      <c r="D251" s="21" t="str">
        <f>Spieltag!B238</f>
        <v>Ridle Baku</v>
      </c>
      <c r="E251" s="12" t="str">
        <f>Spieltag!C238</f>
        <v>Mittelfeld</v>
      </c>
      <c r="F251" s="13" t="s">
        <v>55</v>
      </c>
      <c r="G251" s="14"/>
      <c r="H251" s="15">
        <f t="shared" si="602"/>
        <v>0</v>
      </c>
      <c r="I251" s="14"/>
      <c r="J251" s="15">
        <f t="shared" si="603"/>
        <v>0</v>
      </c>
      <c r="K251" s="14"/>
      <c r="L251" s="15">
        <f t="shared" si="604"/>
        <v>0</v>
      </c>
      <c r="M251" s="14"/>
      <c r="N251" s="15">
        <f t="shared" si="605"/>
        <v>0</v>
      </c>
      <c r="O251" s="16">
        <f t="shared" si="557"/>
        <v>20</v>
      </c>
      <c r="P251" s="16">
        <f t="shared" si="558"/>
        <v>20</v>
      </c>
      <c r="Q251" s="16">
        <f t="shared" si="597"/>
        <v>10</v>
      </c>
      <c r="R251" s="14"/>
      <c r="S251" s="15">
        <f t="shared" si="606"/>
        <v>0</v>
      </c>
      <c r="T251" s="14"/>
      <c r="U251" s="15">
        <f t="shared" si="607"/>
        <v>0</v>
      </c>
      <c r="V251" s="16">
        <f t="shared" si="608"/>
        <v>0</v>
      </c>
      <c r="W251" s="17">
        <f t="shared" si="609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27</v>
      </c>
      <c r="D252" s="21" t="str">
        <f>Spieltag!B239</f>
        <v>Maximilian Arnold</v>
      </c>
      <c r="E252" s="12" t="str">
        <f>Spieltag!C239</f>
        <v>Mittelfeld</v>
      </c>
      <c r="F252" s="13" t="s">
        <v>55</v>
      </c>
      <c r="G252" s="14"/>
      <c r="H252" s="15">
        <f t="shared" si="602"/>
        <v>0</v>
      </c>
      <c r="I252" s="14"/>
      <c r="J252" s="15">
        <f t="shared" si="603"/>
        <v>0</v>
      </c>
      <c r="K252" s="14"/>
      <c r="L252" s="15">
        <f t="shared" si="604"/>
        <v>0</v>
      </c>
      <c r="M252" s="14"/>
      <c r="N252" s="15">
        <f t="shared" si="605"/>
        <v>0</v>
      </c>
      <c r="O252" s="16">
        <f t="shared" si="557"/>
        <v>20</v>
      </c>
      <c r="P252" s="16">
        <f t="shared" si="558"/>
        <v>20</v>
      </c>
      <c r="Q252" s="16">
        <f t="shared" si="597"/>
        <v>10</v>
      </c>
      <c r="R252" s="14"/>
      <c r="S252" s="15">
        <f t="shared" si="606"/>
        <v>0</v>
      </c>
      <c r="T252" s="14"/>
      <c r="U252" s="15">
        <f t="shared" si="607"/>
        <v>0</v>
      </c>
      <c r="V252" s="16">
        <f t="shared" si="608"/>
        <v>0</v>
      </c>
      <c r="W252" s="17">
        <f t="shared" si="609"/>
        <v>0</v>
      </c>
    </row>
    <row r="253" spans="1:23" ht="10.5" customHeight="1" x14ac:dyDescent="0.2">
      <c r="A253" s="11"/>
      <c r="B253" s="149">
        <f>COUNTA(Spieltag!K240:AA240)</f>
        <v>4</v>
      </c>
      <c r="C253" s="166">
        <f>Spieltag!A240</f>
        <v>31</v>
      </c>
      <c r="D253" s="21" t="str">
        <f>Spieltag!B240</f>
        <v>Yannick Gerhardt</v>
      </c>
      <c r="E253" s="12" t="str">
        <f>Spieltag!C240</f>
        <v>Mittelfeld</v>
      </c>
      <c r="F253" s="13" t="s">
        <v>55</v>
      </c>
      <c r="G253" s="14" t="s">
        <v>676</v>
      </c>
      <c r="H253" s="15">
        <f t="shared" si="602"/>
        <v>10</v>
      </c>
      <c r="I253" s="14" t="s">
        <v>676</v>
      </c>
      <c r="J253" s="15">
        <f t="shared" si="603"/>
        <v>-10</v>
      </c>
      <c r="K253" s="14"/>
      <c r="L253" s="15">
        <f t="shared" si="604"/>
        <v>0</v>
      </c>
      <c r="M253" s="14"/>
      <c r="N253" s="15">
        <f t="shared" si="605"/>
        <v>0</v>
      </c>
      <c r="O253" s="16">
        <f t="shared" si="557"/>
        <v>20</v>
      </c>
      <c r="P253" s="16">
        <f t="shared" si="558"/>
        <v>20</v>
      </c>
      <c r="Q253" s="16">
        <f t="shared" si="597"/>
        <v>10</v>
      </c>
      <c r="R253" s="14"/>
      <c r="S253" s="15">
        <f t="shared" si="606"/>
        <v>0</v>
      </c>
      <c r="T253" s="14"/>
      <c r="U253" s="15">
        <f t="shared" si="607"/>
        <v>0</v>
      </c>
      <c r="V253" s="16">
        <f t="shared" si="608"/>
        <v>0</v>
      </c>
      <c r="W253" s="17">
        <f t="shared" si="609"/>
        <v>50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32</v>
      </c>
      <c r="D254" s="21" t="str">
        <f>Spieltag!B241</f>
        <v>Mattias Svanberg (A)</v>
      </c>
      <c r="E254" s="12" t="str">
        <f>Spieltag!C241</f>
        <v>Mittelfeld</v>
      </c>
      <c r="F254" s="13" t="s">
        <v>55</v>
      </c>
      <c r="G254" s="14"/>
      <c r="H254" s="15">
        <f t="shared" si="602"/>
        <v>0</v>
      </c>
      <c r="I254" s="14"/>
      <c r="J254" s="15">
        <f t="shared" si="603"/>
        <v>0</v>
      </c>
      <c r="K254" s="14"/>
      <c r="L254" s="15">
        <f t="shared" si="604"/>
        <v>0</v>
      </c>
      <c r="M254" s="14"/>
      <c r="N254" s="15">
        <f t="shared" si="605"/>
        <v>0</v>
      </c>
      <c r="O254" s="16">
        <f t="shared" si="557"/>
        <v>20</v>
      </c>
      <c r="P254" s="16">
        <f t="shared" si="558"/>
        <v>20</v>
      </c>
      <c r="Q254" s="16">
        <f t="shared" si="597"/>
        <v>10</v>
      </c>
      <c r="R254" s="14"/>
      <c r="S254" s="15">
        <f t="shared" si="606"/>
        <v>0</v>
      </c>
      <c r="T254" s="14"/>
      <c r="U254" s="15">
        <f t="shared" si="607"/>
        <v>0</v>
      </c>
      <c r="V254" s="16">
        <f t="shared" si="608"/>
        <v>0</v>
      </c>
      <c r="W254" s="17">
        <f t="shared" si="609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36</v>
      </c>
      <c r="D255" s="21" t="str">
        <f>Spieltag!B242</f>
        <v>Lukas Ambros (A)</v>
      </c>
      <c r="E255" s="12" t="str">
        <f>Spieltag!C242</f>
        <v>Mittelfeld</v>
      </c>
      <c r="F255" s="13" t="s">
        <v>55</v>
      </c>
      <c r="G255" s="14"/>
      <c r="H255" s="15">
        <f t="shared" si="602"/>
        <v>0</v>
      </c>
      <c r="I255" s="14"/>
      <c r="J255" s="15">
        <f t="shared" si="603"/>
        <v>0</v>
      </c>
      <c r="K255" s="14"/>
      <c r="L255" s="15">
        <f t="shared" si="604"/>
        <v>0</v>
      </c>
      <c r="M255" s="14"/>
      <c r="N255" s="15">
        <f t="shared" si="605"/>
        <v>0</v>
      </c>
      <c r="O255" s="16">
        <f t="shared" si="557"/>
        <v>20</v>
      </c>
      <c r="P255" s="16">
        <f t="shared" si="558"/>
        <v>20</v>
      </c>
      <c r="Q255" s="16">
        <f t="shared" si="597"/>
        <v>10</v>
      </c>
      <c r="R255" s="14"/>
      <c r="S255" s="15">
        <f t="shared" si="606"/>
        <v>0</v>
      </c>
      <c r="T255" s="14"/>
      <c r="U255" s="15">
        <f t="shared" si="607"/>
        <v>0</v>
      </c>
      <c r="V255" s="16">
        <f t="shared" si="608"/>
        <v>0</v>
      </c>
      <c r="W255" s="17">
        <f t="shared" si="609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38</v>
      </c>
      <c r="D256" s="21" t="str">
        <f>Spieltag!B243</f>
        <v>Bartol Franjic (A)</v>
      </c>
      <c r="E256" s="12" t="str">
        <f>Spieltag!C243</f>
        <v>Mittelfeld</v>
      </c>
      <c r="F256" s="13" t="s">
        <v>55</v>
      </c>
      <c r="G256" s="14"/>
      <c r="H256" s="15">
        <f t="shared" si="602"/>
        <v>0</v>
      </c>
      <c r="I256" s="14"/>
      <c r="J256" s="15">
        <f t="shared" si="603"/>
        <v>0</v>
      </c>
      <c r="K256" s="14"/>
      <c r="L256" s="15">
        <f t="shared" si="604"/>
        <v>0</v>
      </c>
      <c r="M256" s="14"/>
      <c r="N256" s="15">
        <f t="shared" si="605"/>
        <v>0</v>
      </c>
      <c r="O256" s="16">
        <f t="shared" si="557"/>
        <v>20</v>
      </c>
      <c r="P256" s="16">
        <f t="shared" si="558"/>
        <v>20</v>
      </c>
      <c r="Q256" s="16">
        <f t="shared" si="597"/>
        <v>10</v>
      </c>
      <c r="R256" s="14"/>
      <c r="S256" s="15">
        <f t="shared" si="606"/>
        <v>0</v>
      </c>
      <c r="T256" s="14"/>
      <c r="U256" s="15">
        <f t="shared" si="607"/>
        <v>0</v>
      </c>
      <c r="V256" s="16">
        <f t="shared" si="608"/>
        <v>0</v>
      </c>
      <c r="W256" s="17">
        <f t="shared" si="609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602"/>
        <v>0</v>
      </c>
      <c r="I257" s="14"/>
      <c r="J257" s="15">
        <f t="shared" si="603"/>
        <v>0</v>
      </c>
      <c r="K257" s="14"/>
      <c r="L257" s="15">
        <f t="shared" si="604"/>
        <v>0</v>
      </c>
      <c r="M257" s="14"/>
      <c r="N257" s="15">
        <f t="shared" si="605"/>
        <v>0</v>
      </c>
      <c r="O257" s="16">
        <f t="shared" si="557"/>
        <v>20</v>
      </c>
      <c r="P257" s="16">
        <f t="shared" si="558"/>
        <v>20</v>
      </c>
      <c r="Q257" s="16">
        <f t="shared" si="597"/>
        <v>10</v>
      </c>
      <c r="R257" s="14"/>
      <c r="S257" s="15">
        <f t="shared" si="606"/>
        <v>0</v>
      </c>
      <c r="T257" s="14"/>
      <c r="U257" s="15">
        <f t="shared" si="607"/>
        <v>0</v>
      </c>
      <c r="V257" s="16">
        <f t="shared" si="608"/>
        <v>0</v>
      </c>
      <c r="W257" s="17">
        <f t="shared" si="609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si="602"/>
        <v>0</v>
      </c>
      <c r="I258" s="14"/>
      <c r="J258" s="15">
        <f t="shared" si="603"/>
        <v>0</v>
      </c>
      <c r="K258" s="14"/>
      <c r="L258" s="15">
        <f t="shared" si="604"/>
        <v>0</v>
      </c>
      <c r="M258" s="14"/>
      <c r="N258" s="15">
        <f t="shared" si="605"/>
        <v>0</v>
      </c>
      <c r="O258" s="16">
        <f t="shared" si="557"/>
        <v>20</v>
      </c>
      <c r="P258" s="16">
        <f t="shared" si="558"/>
        <v>20</v>
      </c>
      <c r="Q258" s="16">
        <f t="shared" si="597"/>
        <v>10</v>
      </c>
      <c r="R258" s="14"/>
      <c r="S258" s="15">
        <f t="shared" si="606"/>
        <v>0</v>
      </c>
      <c r="T258" s="14"/>
      <c r="U258" s="15">
        <f t="shared" si="607"/>
        <v>0</v>
      </c>
      <c r="V258" s="16">
        <f t="shared" si="608"/>
        <v>0</v>
      </c>
      <c r="W258" s="17">
        <f t="shared" si="609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 t="str">
        <f>Spieltag!A246</f>
        <v>-</v>
      </c>
      <c r="D259" s="21" t="str">
        <f>Spieltag!B246</f>
        <v>Ulysses Llanez (A)</v>
      </c>
      <c r="E259" s="12" t="str">
        <f>Spieltag!C246</f>
        <v>Mittelfeld</v>
      </c>
      <c r="F259" s="13" t="s">
        <v>55</v>
      </c>
      <c r="G259" s="14"/>
      <c r="H259" s="15">
        <f t="shared" si="602"/>
        <v>0</v>
      </c>
      <c r="I259" s="14"/>
      <c r="J259" s="15">
        <f t="shared" si="603"/>
        <v>0</v>
      </c>
      <c r="K259" s="14"/>
      <c r="L259" s="15">
        <f t="shared" si="604"/>
        <v>0</v>
      </c>
      <c r="M259" s="14"/>
      <c r="N259" s="15">
        <f t="shared" si="605"/>
        <v>0</v>
      </c>
      <c r="O259" s="16">
        <f t="shared" si="557"/>
        <v>20</v>
      </c>
      <c r="P259" s="16">
        <f t="shared" si="558"/>
        <v>20</v>
      </c>
      <c r="Q259" s="16">
        <f t="shared" si="597"/>
        <v>10</v>
      </c>
      <c r="R259" s="14"/>
      <c r="S259" s="15">
        <f t="shared" si="606"/>
        <v>0</v>
      </c>
      <c r="T259" s="14"/>
      <c r="U259" s="15">
        <f t="shared" si="607"/>
        <v>0</v>
      </c>
      <c r="V259" s="16">
        <f t="shared" si="608"/>
        <v>0</v>
      </c>
      <c r="W259" s="17">
        <f t="shared" si="609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10</v>
      </c>
      <c r="D260" s="21" t="str">
        <f>Spieltag!B247</f>
        <v>Lukas Nmecha</v>
      </c>
      <c r="E260" s="12" t="str">
        <f>Spieltag!C247</f>
        <v>Sturm</v>
      </c>
      <c r="F260" s="13" t="s">
        <v>55</v>
      </c>
      <c r="G260" s="14"/>
      <c r="H260" s="15">
        <f t="shared" ref="H260" si="618">IF(G260="x",10,0)</f>
        <v>0</v>
      </c>
      <c r="I260" s="14"/>
      <c r="J260" s="15">
        <f t="shared" ref="J260" si="619">IF((I260="x"),-10,0)</f>
        <v>0</v>
      </c>
      <c r="K260" s="14"/>
      <c r="L260" s="15">
        <f t="shared" ref="L260" si="620">IF((K260="x"),-20,0)</f>
        <v>0</v>
      </c>
      <c r="M260" s="14"/>
      <c r="N260" s="15">
        <f t="shared" ref="N260" si="621">IF((M260="x"),-30,0)</f>
        <v>0</v>
      </c>
      <c r="O260" s="16">
        <f t="shared" ref="O260:O263" si="622">IF(AND($P$11&gt;$Q$11),20,IF($P$11=$Q$11,10,0))</f>
        <v>20</v>
      </c>
      <c r="P260" s="16">
        <f t="shared" ref="P260:P263" si="623">IF(($P$11&lt;&gt;0),$P$11*10,-5)</f>
        <v>20</v>
      </c>
      <c r="Q260" s="16">
        <f t="shared" ref="Q260:Q263" si="624">IF(($Q$11&lt;&gt;0),$Q$11*-10,5)</f>
        <v>5</v>
      </c>
      <c r="R260" s="14"/>
      <c r="S260" s="15">
        <f t="shared" ref="S260" si="625">R260*10</f>
        <v>0</v>
      </c>
      <c r="T260" s="14"/>
      <c r="U260" s="15">
        <f t="shared" ref="U260" si="626">T260*-15</f>
        <v>0</v>
      </c>
      <c r="V260" s="16">
        <f t="shared" ref="V260" si="627">IF(AND(R260=2),10,IF(R260=3,30,IF(R260=4,50,IF(R260=5,70,0))))</f>
        <v>0</v>
      </c>
      <c r="W260" s="17">
        <f t="shared" ref="W260" si="628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11</v>
      </c>
      <c r="D261" s="21" t="str">
        <f>Spieltag!B248</f>
        <v>Tiago Tomas (A)</v>
      </c>
      <c r="E261" s="12" t="str">
        <f>Spieltag!C248</f>
        <v>Sturm</v>
      </c>
      <c r="F261" s="13" t="s">
        <v>55</v>
      </c>
      <c r="G261" s="14"/>
      <c r="H261" s="15">
        <f t="shared" ref="H261:H263" si="629">IF(G261="x",10,0)</f>
        <v>0</v>
      </c>
      <c r="I261" s="14"/>
      <c r="J261" s="15">
        <f t="shared" ref="J261:J263" si="630">IF((I261="x"),-10,0)</f>
        <v>0</v>
      </c>
      <c r="K261" s="14"/>
      <c r="L261" s="15">
        <f t="shared" ref="L261:L263" si="631">IF((K261="x"),-20,0)</f>
        <v>0</v>
      </c>
      <c r="M261" s="14"/>
      <c r="N261" s="15">
        <f t="shared" ref="N261:N263" si="632">IF((M261="x"),-30,0)</f>
        <v>0</v>
      </c>
      <c r="O261" s="16">
        <f t="shared" si="622"/>
        <v>20</v>
      </c>
      <c r="P261" s="16">
        <f t="shared" si="623"/>
        <v>20</v>
      </c>
      <c r="Q261" s="16">
        <f t="shared" si="624"/>
        <v>5</v>
      </c>
      <c r="R261" s="14"/>
      <c r="S261" s="15">
        <f t="shared" ref="S261:S263" si="633">R261*10</f>
        <v>0</v>
      </c>
      <c r="T261" s="14"/>
      <c r="U261" s="15">
        <f t="shared" ref="U261:U263" si="634">T261*-15</f>
        <v>0</v>
      </c>
      <c r="V261" s="16">
        <f t="shared" ref="V261:V263" si="635">IF(AND(R261=2),10,IF(R261=3,30,IF(R261=4,50,IF(R261=5,70,0))))</f>
        <v>0</v>
      </c>
      <c r="W261" s="17">
        <f t="shared" ref="W261:W263" si="636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18</v>
      </c>
      <c r="D262" s="21" t="str">
        <f>Spieltag!B249</f>
        <v>Dzenan Pejcinovic</v>
      </c>
      <c r="E262" s="12" t="str">
        <f>Spieltag!C249</f>
        <v>Sturm</v>
      </c>
      <c r="F262" s="13" t="s">
        <v>55</v>
      </c>
      <c r="G262" s="14"/>
      <c r="H262" s="15">
        <f t="shared" si="629"/>
        <v>0</v>
      </c>
      <c r="I262" s="14"/>
      <c r="J262" s="15">
        <f t="shared" si="630"/>
        <v>0</v>
      </c>
      <c r="K262" s="14"/>
      <c r="L262" s="15">
        <f t="shared" si="631"/>
        <v>0</v>
      </c>
      <c r="M262" s="14"/>
      <c r="N262" s="15">
        <f t="shared" si="632"/>
        <v>0</v>
      </c>
      <c r="O262" s="16">
        <f t="shared" si="622"/>
        <v>20</v>
      </c>
      <c r="P262" s="16">
        <f t="shared" si="623"/>
        <v>20</v>
      </c>
      <c r="Q262" s="16">
        <f t="shared" si="624"/>
        <v>5</v>
      </c>
      <c r="R262" s="14"/>
      <c r="S262" s="15">
        <f t="shared" si="633"/>
        <v>0</v>
      </c>
      <c r="T262" s="14"/>
      <c r="U262" s="15">
        <f t="shared" si="634"/>
        <v>0</v>
      </c>
      <c r="V262" s="16">
        <f t="shared" si="635"/>
        <v>0</v>
      </c>
      <c r="W262" s="17">
        <f t="shared" si="636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23</v>
      </c>
      <c r="D263" s="21" t="str">
        <f>Spieltag!B250</f>
        <v>Jonas Wind (A)</v>
      </c>
      <c r="E263" s="12" t="str">
        <f>Spieltag!C250</f>
        <v>Sturm</v>
      </c>
      <c r="F263" s="13" t="s">
        <v>55</v>
      </c>
      <c r="G263" s="14"/>
      <c r="H263" s="15">
        <f t="shared" si="629"/>
        <v>0</v>
      </c>
      <c r="I263" s="14"/>
      <c r="J263" s="15">
        <f t="shared" si="630"/>
        <v>0</v>
      </c>
      <c r="K263" s="14"/>
      <c r="L263" s="15">
        <f t="shared" si="631"/>
        <v>0</v>
      </c>
      <c r="M263" s="14"/>
      <c r="N263" s="15">
        <f t="shared" si="632"/>
        <v>0</v>
      </c>
      <c r="O263" s="16">
        <f t="shared" si="622"/>
        <v>20</v>
      </c>
      <c r="P263" s="16">
        <f t="shared" si="623"/>
        <v>20</v>
      </c>
      <c r="Q263" s="16">
        <f t="shared" si="624"/>
        <v>5</v>
      </c>
      <c r="R263" s="14"/>
      <c r="S263" s="15">
        <f t="shared" si="633"/>
        <v>0</v>
      </c>
      <c r="T263" s="14"/>
      <c r="U263" s="15">
        <f t="shared" si="634"/>
        <v>0</v>
      </c>
      <c r="V263" s="16">
        <f t="shared" si="635"/>
        <v>0</v>
      </c>
      <c r="W263" s="17">
        <f t="shared" si="636"/>
        <v>0</v>
      </c>
    </row>
    <row r="264" spans="1:23" s="144" customFormat="1" ht="17.25" hidden="1" thickBot="1" x14ac:dyDescent="0.25">
      <c r="A264" s="142"/>
      <c r="B264" s="143">
        <f>SUM(B265:B288)</f>
        <v>0</v>
      </c>
      <c r="C264" s="158"/>
      <c r="D264" s="221" t="s">
        <v>120</v>
      </c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2"/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1</v>
      </c>
      <c r="D265" s="21" t="str">
        <f>Spieltag!B252</f>
        <v>Lasse Riess</v>
      </c>
      <c r="E265" s="12" t="str">
        <f>Spieltag!C252</f>
        <v>Torwart</v>
      </c>
      <c r="F265" s="13" t="s">
        <v>88</v>
      </c>
      <c r="G265" s="14"/>
      <c r="H265" s="15">
        <f t="shared" ref="H265" si="637">IF(G265="x",10,0)</f>
        <v>0</v>
      </c>
      <c r="I265" s="14"/>
      <c r="J265" s="15">
        <f t="shared" ref="J265" si="638">IF((I265="x"),-10,0)</f>
        <v>0</v>
      </c>
      <c r="K265" s="14"/>
      <c r="L265" s="15">
        <f t="shared" ref="L265" si="639">IF((K265="x"),-20,0)</f>
        <v>0</v>
      </c>
      <c r="M265" s="14"/>
      <c r="N265" s="15">
        <f t="shared" ref="N265" si="640">IF((M265="x"),-30,0)</f>
        <v>0</v>
      </c>
      <c r="O265" s="16">
        <f t="shared" ref="O265:O288" si="641">IF(AND($V$10&gt;$W$10),20,IF($V$10=$W$10,10,0))</f>
        <v>0</v>
      </c>
      <c r="P265" s="16">
        <f t="shared" ref="P265:P288" si="642">IF(($V$10&lt;&gt;0),$V$10*10,-5)</f>
        <v>10</v>
      </c>
      <c r="Q265" s="16">
        <f t="shared" ref="Q265:Q267" si="643">IF(($W$10&lt;&gt;0),$W$10*-10,20)</f>
        <v>-40</v>
      </c>
      <c r="R265" s="14"/>
      <c r="S265" s="15">
        <f t="shared" ref="S265" si="644">R265*20</f>
        <v>0</v>
      </c>
      <c r="T265" s="14"/>
      <c r="U265" s="15">
        <f t="shared" ref="U265" si="645">T265*-15</f>
        <v>0</v>
      </c>
      <c r="V265" s="16">
        <f t="shared" ref="V265" si="646">IF(AND(R265=2),10,IF(R265=3,30,IF(R265=4,50,IF(R265=5,70,0))))</f>
        <v>0</v>
      </c>
      <c r="W265" s="17">
        <f t="shared" ref="W265" si="647">IF(G265="x",H265+J265+L265+N265+O265+P265+Q265+S265+U265+V265,0)</f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27</v>
      </c>
      <c r="D266" s="21" t="str">
        <f>Spieltag!B253</f>
        <v>Robin Zentner</v>
      </c>
      <c r="E266" s="12" t="str">
        <f>Spieltag!C253</f>
        <v>Torwart</v>
      </c>
      <c r="F266" s="13" t="s">
        <v>88</v>
      </c>
      <c r="G266" s="14"/>
      <c r="H266" s="15">
        <f t="shared" ref="H266:H267" si="648">IF(G266="x",10,0)</f>
        <v>0</v>
      </c>
      <c r="I266" s="14"/>
      <c r="J266" s="15">
        <f t="shared" ref="J266:J267" si="649">IF((I266="x"),-10,0)</f>
        <v>0</v>
      </c>
      <c r="K266" s="14"/>
      <c r="L266" s="15">
        <f t="shared" ref="L266:L267" si="650">IF((K266="x"),-20,0)</f>
        <v>0</v>
      </c>
      <c r="M266" s="14"/>
      <c r="N266" s="15">
        <f t="shared" ref="N266:N267" si="651">IF((M266="x"),-30,0)</f>
        <v>0</v>
      </c>
      <c r="O266" s="16">
        <f t="shared" si="641"/>
        <v>0</v>
      </c>
      <c r="P266" s="16">
        <f t="shared" si="642"/>
        <v>10</v>
      </c>
      <c r="Q266" s="16">
        <f t="shared" si="643"/>
        <v>-40</v>
      </c>
      <c r="R266" s="14"/>
      <c r="S266" s="15">
        <f t="shared" ref="S266:S267" si="652">R266*20</f>
        <v>0</v>
      </c>
      <c r="T266" s="14"/>
      <c r="U266" s="15">
        <f t="shared" ref="U266:U267" si="653">T266*-15</f>
        <v>0</v>
      </c>
      <c r="V266" s="16">
        <f t="shared" ref="V266:V267" si="654">IF(AND(R266=2),10,IF(R266=3,30,IF(R266=4,50,IF(R266=5,70,0))))</f>
        <v>0</v>
      </c>
      <c r="W266" s="17">
        <f t="shared" ref="W266:W267" si="655">IF(G266="x",H266+J266+L266+N266+O266+P266+Q266+S266+U266+V266,0)</f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33</v>
      </c>
      <c r="D267" s="21" t="str">
        <f>Spieltag!B254</f>
        <v>Daniel Batz</v>
      </c>
      <c r="E267" s="12" t="str">
        <f>Spieltag!C254</f>
        <v>Torwart</v>
      </c>
      <c r="F267" s="13" t="s">
        <v>88</v>
      </c>
      <c r="G267" s="14"/>
      <c r="H267" s="15">
        <f t="shared" si="648"/>
        <v>0</v>
      </c>
      <c r="I267" s="14"/>
      <c r="J267" s="15">
        <f t="shared" si="649"/>
        <v>0</v>
      </c>
      <c r="K267" s="14"/>
      <c r="L267" s="15">
        <f t="shared" si="650"/>
        <v>0</v>
      </c>
      <c r="M267" s="14"/>
      <c r="N267" s="15">
        <f t="shared" si="651"/>
        <v>0</v>
      </c>
      <c r="O267" s="16">
        <f t="shared" si="641"/>
        <v>0</v>
      </c>
      <c r="P267" s="16">
        <f t="shared" si="642"/>
        <v>10</v>
      </c>
      <c r="Q267" s="16">
        <f t="shared" si="643"/>
        <v>-40</v>
      </c>
      <c r="R267" s="14"/>
      <c r="S267" s="15">
        <f t="shared" si="652"/>
        <v>0</v>
      </c>
      <c r="T267" s="14"/>
      <c r="U267" s="15">
        <f t="shared" si="653"/>
        <v>0</v>
      </c>
      <c r="V267" s="16">
        <f t="shared" si="654"/>
        <v>0</v>
      </c>
      <c r="W267" s="17">
        <f t="shared" si="655"/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3</v>
      </c>
      <c r="D268" s="21" t="str">
        <f>Spieltag!B255</f>
        <v>Sepp van den Berg (A)</v>
      </c>
      <c r="E268" s="12" t="str">
        <f>Spieltag!C255</f>
        <v>Abwehr</v>
      </c>
      <c r="F268" s="13" t="s">
        <v>88</v>
      </c>
      <c r="G268" s="14"/>
      <c r="H268" s="15">
        <f t="shared" ref="H268" si="656">IF(G268="x",10,0)</f>
        <v>0</v>
      </c>
      <c r="I268" s="14"/>
      <c r="J268" s="15">
        <f t="shared" ref="J268" si="657">IF((I268="x"),-10,0)</f>
        <v>0</v>
      </c>
      <c r="K268" s="14"/>
      <c r="L268" s="15">
        <f t="shared" ref="L268" si="658">IF((K268="x"),-20,0)</f>
        <v>0</v>
      </c>
      <c r="M268" s="14"/>
      <c r="N268" s="15">
        <f t="shared" ref="N268" si="659">IF((M268="x"),-30,0)</f>
        <v>0</v>
      </c>
      <c r="O268" s="16">
        <f t="shared" si="641"/>
        <v>0</v>
      </c>
      <c r="P268" s="16">
        <f t="shared" si="642"/>
        <v>10</v>
      </c>
      <c r="Q268" s="16">
        <f t="shared" ref="Q268:Q275" si="660">IF(($W$10&lt;&gt;0),$W$10*-10,15)</f>
        <v>-40</v>
      </c>
      <c r="R268" s="14"/>
      <c r="S268" s="15">
        <f t="shared" ref="S268" si="661">R268*15</f>
        <v>0</v>
      </c>
      <c r="T268" s="14"/>
      <c r="U268" s="15">
        <f t="shared" ref="U268" si="662">T268*-15</f>
        <v>0</v>
      </c>
      <c r="V268" s="16">
        <f t="shared" ref="V268" si="663">IF(AND(R268=2),10,IF(R268=3,30,IF(R268=4,50,IF(R268=5,70,0))))</f>
        <v>0</v>
      </c>
      <c r="W268" s="17">
        <f t="shared" ref="W268" si="664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5</v>
      </c>
      <c r="D269" s="21" t="str">
        <f>Spieltag!B256</f>
        <v>Maxim Leitsch</v>
      </c>
      <c r="E269" s="12" t="str">
        <f>Spieltag!C256</f>
        <v>Abwehr</v>
      </c>
      <c r="F269" s="13" t="s">
        <v>88</v>
      </c>
      <c r="G269" s="14"/>
      <c r="H269" s="15">
        <f t="shared" ref="H269:H275" si="665">IF(G269="x",10,0)</f>
        <v>0</v>
      </c>
      <c r="I269" s="14"/>
      <c r="J269" s="15">
        <f t="shared" ref="J269:J275" si="666">IF((I269="x"),-10,0)</f>
        <v>0</v>
      </c>
      <c r="K269" s="14"/>
      <c r="L269" s="15">
        <f t="shared" ref="L269:L275" si="667">IF((K269="x"),-20,0)</f>
        <v>0</v>
      </c>
      <c r="M269" s="14"/>
      <c r="N269" s="15">
        <f t="shared" ref="N269:N275" si="668">IF((M269="x"),-30,0)</f>
        <v>0</v>
      </c>
      <c r="O269" s="16">
        <f t="shared" si="641"/>
        <v>0</v>
      </c>
      <c r="P269" s="16">
        <f t="shared" si="642"/>
        <v>10</v>
      </c>
      <c r="Q269" s="16">
        <f t="shared" si="660"/>
        <v>-40</v>
      </c>
      <c r="R269" s="14"/>
      <c r="S269" s="15">
        <f t="shared" ref="S269:S275" si="669">R269*15</f>
        <v>0</v>
      </c>
      <c r="T269" s="14"/>
      <c r="U269" s="15">
        <f t="shared" ref="U269:U275" si="670">T269*-15</f>
        <v>0</v>
      </c>
      <c r="V269" s="16">
        <f t="shared" ref="V269:V275" si="671">IF(AND(R269=2),10,IF(R269=3,30,IF(R269=4,50,IF(R269=5,70,0))))</f>
        <v>0</v>
      </c>
      <c r="W269" s="17">
        <f t="shared" ref="W269:W275" si="672">IF(G269="x",H269+J269+L269+N269+O269+P269+Q269+S269+U269+V269,0)</f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16</v>
      </c>
      <c r="D270" s="21" t="str">
        <f>Spieltag!B257</f>
        <v>Stefan Bell</v>
      </c>
      <c r="E270" s="12" t="str">
        <f>Spieltag!C257</f>
        <v>Abwehr</v>
      </c>
      <c r="F270" s="13" t="s">
        <v>88</v>
      </c>
      <c r="G270" s="14"/>
      <c r="H270" s="15">
        <f t="shared" si="665"/>
        <v>0</v>
      </c>
      <c r="I270" s="14"/>
      <c r="J270" s="15">
        <f t="shared" si="666"/>
        <v>0</v>
      </c>
      <c r="K270" s="14"/>
      <c r="L270" s="15">
        <f t="shared" si="667"/>
        <v>0</v>
      </c>
      <c r="M270" s="14"/>
      <c r="N270" s="15">
        <f t="shared" si="668"/>
        <v>0</v>
      </c>
      <c r="O270" s="16">
        <f t="shared" si="641"/>
        <v>0</v>
      </c>
      <c r="P270" s="16">
        <f t="shared" si="642"/>
        <v>10</v>
      </c>
      <c r="Q270" s="16">
        <f t="shared" si="660"/>
        <v>-40</v>
      </c>
      <c r="R270" s="14"/>
      <c r="S270" s="15">
        <f t="shared" si="669"/>
        <v>0</v>
      </c>
      <c r="T270" s="14"/>
      <c r="U270" s="15">
        <f t="shared" si="670"/>
        <v>0</v>
      </c>
      <c r="V270" s="16">
        <f t="shared" si="671"/>
        <v>0</v>
      </c>
      <c r="W270" s="17">
        <f t="shared" si="6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17</v>
      </c>
      <c r="D271" s="21" t="str">
        <f>Spieltag!B258</f>
        <v>Anthony Caci (A)</v>
      </c>
      <c r="E271" s="12" t="str">
        <f>Spieltag!C258</f>
        <v>Abwehr</v>
      </c>
      <c r="F271" s="13" t="s">
        <v>88</v>
      </c>
      <c r="G271" s="14"/>
      <c r="H271" s="15">
        <f t="shared" si="665"/>
        <v>0</v>
      </c>
      <c r="I271" s="14"/>
      <c r="J271" s="15">
        <f t="shared" si="666"/>
        <v>0</v>
      </c>
      <c r="K271" s="14"/>
      <c r="L271" s="15">
        <f t="shared" si="667"/>
        <v>0</v>
      </c>
      <c r="M271" s="14"/>
      <c r="N271" s="15">
        <f t="shared" si="668"/>
        <v>0</v>
      </c>
      <c r="O271" s="16">
        <f t="shared" si="641"/>
        <v>0</v>
      </c>
      <c r="P271" s="16">
        <f t="shared" si="642"/>
        <v>10</v>
      </c>
      <c r="Q271" s="16">
        <f t="shared" si="660"/>
        <v>-40</v>
      </c>
      <c r="R271" s="14"/>
      <c r="S271" s="15">
        <f t="shared" si="669"/>
        <v>0</v>
      </c>
      <c r="T271" s="14"/>
      <c r="U271" s="15">
        <f t="shared" si="670"/>
        <v>0</v>
      </c>
      <c r="V271" s="16">
        <f t="shared" si="671"/>
        <v>0</v>
      </c>
      <c r="W271" s="17">
        <f t="shared" si="672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20</v>
      </c>
      <c r="D272" s="21" t="str">
        <f>Spieltag!B259</f>
        <v>Edimilson Fernandes (A)</v>
      </c>
      <c r="E272" s="12" t="str">
        <f>Spieltag!C259</f>
        <v>Abwehr</v>
      </c>
      <c r="F272" s="13" t="s">
        <v>88</v>
      </c>
      <c r="G272" s="14"/>
      <c r="H272" s="15">
        <f t="shared" si="665"/>
        <v>0</v>
      </c>
      <c r="I272" s="14"/>
      <c r="J272" s="15">
        <f t="shared" si="666"/>
        <v>0</v>
      </c>
      <c r="K272" s="14"/>
      <c r="L272" s="15">
        <f t="shared" si="667"/>
        <v>0</v>
      </c>
      <c r="M272" s="14"/>
      <c r="N272" s="15">
        <f t="shared" si="668"/>
        <v>0</v>
      </c>
      <c r="O272" s="16">
        <f t="shared" si="641"/>
        <v>0</v>
      </c>
      <c r="P272" s="16">
        <f t="shared" si="642"/>
        <v>10</v>
      </c>
      <c r="Q272" s="16">
        <f t="shared" si="660"/>
        <v>-40</v>
      </c>
      <c r="R272" s="14"/>
      <c r="S272" s="15">
        <f t="shared" si="669"/>
        <v>0</v>
      </c>
      <c r="T272" s="14"/>
      <c r="U272" s="15">
        <f t="shared" si="670"/>
        <v>0</v>
      </c>
      <c r="V272" s="16">
        <f t="shared" si="671"/>
        <v>0</v>
      </c>
      <c r="W272" s="17">
        <f t="shared" si="672"/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22</v>
      </c>
      <c r="D273" s="21" t="str">
        <f>Spieltag!B260</f>
        <v>Danny da Costa</v>
      </c>
      <c r="E273" s="12" t="str">
        <f>Spieltag!C260</f>
        <v>Abwehr</v>
      </c>
      <c r="F273" s="13" t="s">
        <v>88</v>
      </c>
      <c r="G273" s="14"/>
      <c r="H273" s="15">
        <f t="shared" si="665"/>
        <v>0</v>
      </c>
      <c r="I273" s="14"/>
      <c r="J273" s="15">
        <f t="shared" si="666"/>
        <v>0</v>
      </c>
      <c r="K273" s="14"/>
      <c r="L273" s="15">
        <f t="shared" si="667"/>
        <v>0</v>
      </c>
      <c r="M273" s="14"/>
      <c r="N273" s="15">
        <f t="shared" si="668"/>
        <v>0</v>
      </c>
      <c r="O273" s="16">
        <f t="shared" si="641"/>
        <v>0</v>
      </c>
      <c r="P273" s="16">
        <f t="shared" si="642"/>
        <v>10</v>
      </c>
      <c r="Q273" s="16">
        <f t="shared" si="660"/>
        <v>-40</v>
      </c>
      <c r="R273" s="14"/>
      <c r="S273" s="15">
        <f t="shared" si="669"/>
        <v>0</v>
      </c>
      <c r="T273" s="14"/>
      <c r="U273" s="15">
        <f t="shared" si="670"/>
        <v>0</v>
      </c>
      <c r="V273" s="16">
        <f t="shared" si="671"/>
        <v>0</v>
      </c>
      <c r="W273" s="17">
        <f t="shared" si="672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25</v>
      </c>
      <c r="D274" s="21" t="str">
        <f>Spieltag!B261</f>
        <v>Andreas Hanche-Olsen (A)</v>
      </c>
      <c r="E274" s="12" t="str">
        <f>Spieltag!C261</f>
        <v>Abwehr</v>
      </c>
      <c r="F274" s="13" t="s">
        <v>88</v>
      </c>
      <c r="G274" s="14"/>
      <c r="H274" s="15">
        <f t="shared" si="665"/>
        <v>0</v>
      </c>
      <c r="I274" s="14"/>
      <c r="J274" s="15">
        <f t="shared" si="666"/>
        <v>0</v>
      </c>
      <c r="K274" s="14"/>
      <c r="L274" s="15">
        <f t="shared" si="667"/>
        <v>0</v>
      </c>
      <c r="M274" s="14"/>
      <c r="N274" s="15">
        <f t="shared" si="668"/>
        <v>0</v>
      </c>
      <c r="O274" s="16">
        <f t="shared" si="641"/>
        <v>0</v>
      </c>
      <c r="P274" s="16">
        <f t="shared" si="642"/>
        <v>10</v>
      </c>
      <c r="Q274" s="16">
        <f t="shared" si="660"/>
        <v>-40</v>
      </c>
      <c r="R274" s="14"/>
      <c r="S274" s="15">
        <f t="shared" si="669"/>
        <v>0</v>
      </c>
      <c r="T274" s="14"/>
      <c r="U274" s="15">
        <f t="shared" si="670"/>
        <v>0</v>
      </c>
      <c r="V274" s="16">
        <f t="shared" si="671"/>
        <v>0</v>
      </c>
      <c r="W274" s="17">
        <f t="shared" si="672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30</v>
      </c>
      <c r="D275" s="21" t="str">
        <f>Spieltag!B262</f>
        <v>Silvan Widmer (A)</v>
      </c>
      <c r="E275" s="12" t="str">
        <f>Spieltag!C262</f>
        <v>Abwehr</v>
      </c>
      <c r="F275" s="13" t="s">
        <v>88</v>
      </c>
      <c r="G275" s="14"/>
      <c r="H275" s="15">
        <f t="shared" si="665"/>
        <v>0</v>
      </c>
      <c r="I275" s="14"/>
      <c r="J275" s="15">
        <f t="shared" si="666"/>
        <v>0</v>
      </c>
      <c r="K275" s="14"/>
      <c r="L275" s="15">
        <f t="shared" si="667"/>
        <v>0</v>
      </c>
      <c r="M275" s="14"/>
      <c r="N275" s="15">
        <f t="shared" si="668"/>
        <v>0</v>
      </c>
      <c r="O275" s="16">
        <f t="shared" si="641"/>
        <v>0</v>
      </c>
      <c r="P275" s="16">
        <f t="shared" si="642"/>
        <v>10</v>
      </c>
      <c r="Q275" s="16">
        <f t="shared" si="660"/>
        <v>-40</v>
      </c>
      <c r="R275" s="14"/>
      <c r="S275" s="15">
        <f t="shared" si="669"/>
        <v>0</v>
      </c>
      <c r="T275" s="14"/>
      <c r="U275" s="15">
        <f t="shared" si="670"/>
        <v>0</v>
      </c>
      <c r="V275" s="16">
        <f t="shared" si="671"/>
        <v>0</v>
      </c>
      <c r="W275" s="17">
        <f t="shared" si="672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4</v>
      </c>
      <c r="D276" s="21" t="str">
        <f>Spieltag!B263</f>
        <v>Aymen Barkok</v>
      </c>
      <c r="E276" s="12" t="str">
        <f>Spieltag!C263</f>
        <v>Mittelfeld</v>
      </c>
      <c r="F276" s="13" t="s">
        <v>88</v>
      </c>
      <c r="G276" s="14"/>
      <c r="H276" s="15">
        <f t="shared" ref="H276" si="673">IF(G276="x",10,0)</f>
        <v>0</v>
      </c>
      <c r="I276" s="14"/>
      <c r="J276" s="15">
        <f t="shared" ref="J276" si="674">IF((I276="x"),-10,0)</f>
        <v>0</v>
      </c>
      <c r="K276" s="14"/>
      <c r="L276" s="15">
        <f t="shared" ref="L276" si="675">IF((K276="x"),-20,0)</f>
        <v>0</v>
      </c>
      <c r="M276" s="14"/>
      <c r="N276" s="15">
        <f t="shared" ref="N276" si="676">IF((M276="x"),-30,0)</f>
        <v>0</v>
      </c>
      <c r="O276" s="16">
        <f t="shared" si="641"/>
        <v>0</v>
      </c>
      <c r="P276" s="16">
        <f t="shared" si="642"/>
        <v>10</v>
      </c>
      <c r="Q276" s="16">
        <f t="shared" ref="Q276:Q283" si="677">IF(($W$10&lt;&gt;0),$W$10*-10,10)</f>
        <v>-40</v>
      </c>
      <c r="R276" s="14"/>
      <c r="S276" s="15">
        <f>R276*10</f>
        <v>0</v>
      </c>
      <c r="T276" s="14"/>
      <c r="U276" s="15">
        <f t="shared" ref="U276" si="678">T276*-15</f>
        <v>0</v>
      </c>
      <c r="V276" s="16">
        <f t="shared" ref="V276" si="679">IF(AND(R276=2),10,IF(R276=3,30,IF(R276=4,50,IF(R276=5,70,0))))</f>
        <v>0</v>
      </c>
      <c r="W276" s="17">
        <f t="shared" ref="W276" si="680"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6</v>
      </c>
      <c r="D277" s="21" t="str">
        <f>Spieltag!B264</f>
        <v>Anton Stach</v>
      </c>
      <c r="E277" s="12" t="str">
        <f>Spieltag!C264</f>
        <v>Mittelfeld</v>
      </c>
      <c r="F277" s="13" t="s">
        <v>88</v>
      </c>
      <c r="G277" s="14"/>
      <c r="H277" s="15">
        <f t="shared" ref="H277:H282" si="681">IF(G277="x",10,0)</f>
        <v>0</v>
      </c>
      <c r="I277" s="14"/>
      <c r="J277" s="15">
        <f t="shared" ref="J277:J282" si="682">IF((I277="x"),-10,0)</f>
        <v>0</v>
      </c>
      <c r="K277" s="14"/>
      <c r="L277" s="15">
        <f t="shared" ref="L277:L282" si="683">IF((K277="x"),-20,0)</f>
        <v>0</v>
      </c>
      <c r="M277" s="14"/>
      <c r="N277" s="15">
        <f t="shared" ref="N277:N282" si="684">IF((M277="x"),-30,0)</f>
        <v>0</v>
      </c>
      <c r="O277" s="16">
        <f t="shared" si="641"/>
        <v>0</v>
      </c>
      <c r="P277" s="16">
        <f t="shared" si="642"/>
        <v>10</v>
      </c>
      <c r="Q277" s="16">
        <f t="shared" si="677"/>
        <v>-40</v>
      </c>
      <c r="R277" s="14"/>
      <c r="S277" s="15">
        <f t="shared" ref="S277:S282" si="685">R277*10</f>
        <v>0</v>
      </c>
      <c r="T277" s="14"/>
      <c r="U277" s="15">
        <f t="shared" ref="U277:U282" si="686">T277*-15</f>
        <v>0</v>
      </c>
      <c r="V277" s="16">
        <f t="shared" ref="V277:V282" si="687">IF(AND(R277=2),10,IF(R277=3,30,IF(R277=4,50,IF(R277=5,70,0))))</f>
        <v>0</v>
      </c>
      <c r="W277" s="17">
        <f t="shared" ref="W277:W282" si="688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7</v>
      </c>
      <c r="D278" s="21" t="str">
        <f>Spieltag!B265</f>
        <v>Jae-Sung Lee</v>
      </c>
      <c r="E278" s="12" t="str">
        <f>Spieltag!C265</f>
        <v>Mittelfeld</v>
      </c>
      <c r="F278" s="13" t="s">
        <v>88</v>
      </c>
      <c r="G278" s="14"/>
      <c r="H278" s="15">
        <f t="shared" si="681"/>
        <v>0</v>
      </c>
      <c r="I278" s="14"/>
      <c r="J278" s="15">
        <f t="shared" si="682"/>
        <v>0</v>
      </c>
      <c r="K278" s="14"/>
      <c r="L278" s="15">
        <f t="shared" si="683"/>
        <v>0</v>
      </c>
      <c r="M278" s="14"/>
      <c r="N278" s="15">
        <f t="shared" si="684"/>
        <v>0</v>
      </c>
      <c r="O278" s="16">
        <f t="shared" si="641"/>
        <v>0</v>
      </c>
      <c r="P278" s="16">
        <f t="shared" si="642"/>
        <v>10</v>
      </c>
      <c r="Q278" s="16">
        <f t="shared" si="677"/>
        <v>-40</v>
      </c>
      <c r="R278" s="14"/>
      <c r="S278" s="15">
        <f t="shared" si="685"/>
        <v>0</v>
      </c>
      <c r="T278" s="14"/>
      <c r="U278" s="15">
        <f t="shared" si="686"/>
        <v>0</v>
      </c>
      <c r="V278" s="16">
        <f t="shared" si="687"/>
        <v>0</v>
      </c>
      <c r="W278" s="17">
        <f t="shared" si="688"/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8</v>
      </c>
      <c r="D279" s="21" t="str">
        <f>Spieltag!B266</f>
        <v>Leandro Barreiro (A)</v>
      </c>
      <c r="E279" s="12" t="str">
        <f>Spieltag!C266</f>
        <v>Mittelfeld</v>
      </c>
      <c r="F279" s="13" t="s">
        <v>88</v>
      </c>
      <c r="G279" s="14"/>
      <c r="H279" s="15">
        <f t="shared" si="681"/>
        <v>0</v>
      </c>
      <c r="I279" s="14"/>
      <c r="J279" s="15">
        <f t="shared" si="682"/>
        <v>0</v>
      </c>
      <c r="K279" s="14"/>
      <c r="L279" s="15">
        <f t="shared" si="683"/>
        <v>0</v>
      </c>
      <c r="M279" s="14"/>
      <c r="N279" s="15">
        <f t="shared" si="684"/>
        <v>0</v>
      </c>
      <c r="O279" s="16">
        <f t="shared" si="641"/>
        <v>0</v>
      </c>
      <c r="P279" s="16">
        <f t="shared" si="642"/>
        <v>10</v>
      </c>
      <c r="Q279" s="16">
        <f t="shared" si="677"/>
        <v>-40</v>
      </c>
      <c r="R279" s="14"/>
      <c r="S279" s="15">
        <f t="shared" si="685"/>
        <v>0</v>
      </c>
      <c r="T279" s="14"/>
      <c r="U279" s="15">
        <f t="shared" si="686"/>
        <v>0</v>
      </c>
      <c r="V279" s="16">
        <f t="shared" si="687"/>
        <v>0</v>
      </c>
      <c r="W279" s="17">
        <f t="shared" si="688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14</v>
      </c>
      <c r="D280" s="21" t="str">
        <f>Spieltag!B267</f>
        <v>Tom Krauss</v>
      </c>
      <c r="E280" s="12" t="str">
        <f>Spieltag!C267</f>
        <v>Mittelfeld</v>
      </c>
      <c r="F280" s="13" t="s">
        <v>88</v>
      </c>
      <c r="G280" s="14"/>
      <c r="H280" s="15">
        <f t="shared" si="681"/>
        <v>0</v>
      </c>
      <c r="I280" s="14"/>
      <c r="J280" s="15">
        <f t="shared" si="682"/>
        <v>0</v>
      </c>
      <c r="K280" s="14"/>
      <c r="L280" s="15">
        <f t="shared" si="683"/>
        <v>0</v>
      </c>
      <c r="M280" s="14"/>
      <c r="N280" s="15">
        <f t="shared" si="684"/>
        <v>0</v>
      </c>
      <c r="O280" s="16">
        <f t="shared" si="641"/>
        <v>0</v>
      </c>
      <c r="P280" s="16">
        <f t="shared" si="642"/>
        <v>10</v>
      </c>
      <c r="Q280" s="16">
        <f t="shared" si="677"/>
        <v>-40</v>
      </c>
      <c r="R280" s="14"/>
      <c r="S280" s="15">
        <f t="shared" si="685"/>
        <v>0</v>
      </c>
      <c r="T280" s="14"/>
      <c r="U280" s="15">
        <f t="shared" si="686"/>
        <v>0</v>
      </c>
      <c r="V280" s="16">
        <f t="shared" si="687"/>
        <v>0</v>
      </c>
      <c r="W280" s="17">
        <f t="shared" si="688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31</v>
      </c>
      <c r="D281" s="21" t="str">
        <f>Spieltag!B268</f>
        <v>Dominik Kohr</v>
      </c>
      <c r="E281" s="12" t="str">
        <f>Spieltag!C268</f>
        <v>Mittelfeld</v>
      </c>
      <c r="F281" s="13" t="s">
        <v>88</v>
      </c>
      <c r="G281" s="14"/>
      <c r="H281" s="15">
        <f t="shared" si="681"/>
        <v>0</v>
      </c>
      <c r="I281" s="14"/>
      <c r="J281" s="15">
        <f t="shared" si="682"/>
        <v>0</v>
      </c>
      <c r="K281" s="14"/>
      <c r="L281" s="15">
        <f t="shared" si="683"/>
        <v>0</v>
      </c>
      <c r="M281" s="14"/>
      <c r="N281" s="15">
        <f t="shared" si="684"/>
        <v>0</v>
      </c>
      <c r="O281" s="16">
        <f t="shared" si="641"/>
        <v>0</v>
      </c>
      <c r="P281" s="16">
        <f t="shared" si="642"/>
        <v>10</v>
      </c>
      <c r="Q281" s="16">
        <f t="shared" si="677"/>
        <v>-40</v>
      </c>
      <c r="R281" s="14"/>
      <c r="S281" s="15">
        <f t="shared" si="685"/>
        <v>0</v>
      </c>
      <c r="T281" s="14"/>
      <c r="U281" s="15">
        <f t="shared" si="686"/>
        <v>0</v>
      </c>
      <c r="V281" s="16">
        <f t="shared" si="687"/>
        <v>0</v>
      </c>
      <c r="W281" s="17">
        <f t="shared" si="688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41</v>
      </c>
      <c r="D282" s="21" t="str">
        <f>Spieltag!B269</f>
        <v>Eniss Shabani</v>
      </c>
      <c r="E282" s="12" t="str">
        <f>Spieltag!C269</f>
        <v>Mittelfeld</v>
      </c>
      <c r="F282" s="13" t="s">
        <v>88</v>
      </c>
      <c r="G282" s="14"/>
      <c r="H282" s="15">
        <f t="shared" si="681"/>
        <v>0</v>
      </c>
      <c r="I282" s="14"/>
      <c r="J282" s="15">
        <f t="shared" si="682"/>
        <v>0</v>
      </c>
      <c r="K282" s="14"/>
      <c r="L282" s="15">
        <f t="shared" si="683"/>
        <v>0</v>
      </c>
      <c r="M282" s="14"/>
      <c r="N282" s="15">
        <f t="shared" si="684"/>
        <v>0</v>
      </c>
      <c r="O282" s="16">
        <f t="shared" si="641"/>
        <v>0</v>
      </c>
      <c r="P282" s="16">
        <f t="shared" si="642"/>
        <v>10</v>
      </c>
      <c r="Q282" s="16">
        <f t="shared" si="677"/>
        <v>-40</v>
      </c>
      <c r="R282" s="14"/>
      <c r="S282" s="15">
        <f t="shared" si="685"/>
        <v>0</v>
      </c>
      <c r="T282" s="14"/>
      <c r="U282" s="15">
        <f t="shared" si="686"/>
        <v>0</v>
      </c>
      <c r="V282" s="16">
        <f t="shared" si="687"/>
        <v>0</v>
      </c>
      <c r="W282" s="17">
        <f t="shared" si="688"/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45</v>
      </c>
      <c r="D283" s="21" t="str">
        <f>Spieltag!B270</f>
        <v>David Mamutovic</v>
      </c>
      <c r="E283" s="12" t="str">
        <f>Spieltag!C270</f>
        <v>Mittelfeld</v>
      </c>
      <c r="F283" s="13" t="s">
        <v>88</v>
      </c>
      <c r="G283" s="14"/>
      <c r="H283" s="15">
        <f t="shared" ref="H283" si="689">IF(G283="x",10,0)</f>
        <v>0</v>
      </c>
      <c r="I283" s="14"/>
      <c r="J283" s="15">
        <f t="shared" ref="J283" si="690">IF((I283="x"),-10,0)</f>
        <v>0</v>
      </c>
      <c r="K283" s="14"/>
      <c r="L283" s="15">
        <f t="shared" ref="L283" si="691">IF((K283="x"),-20,0)</f>
        <v>0</v>
      </c>
      <c r="M283" s="14"/>
      <c r="N283" s="15">
        <f t="shared" ref="N283" si="692">IF((M283="x"),-30,0)</f>
        <v>0</v>
      </c>
      <c r="O283" s="16">
        <f t="shared" si="641"/>
        <v>0</v>
      </c>
      <c r="P283" s="16">
        <f t="shared" si="642"/>
        <v>10</v>
      </c>
      <c r="Q283" s="16">
        <f t="shared" si="677"/>
        <v>-40</v>
      </c>
      <c r="R283" s="14"/>
      <c r="S283" s="15">
        <f t="shared" ref="S283" si="693">R283*10</f>
        <v>0</v>
      </c>
      <c r="T283" s="14"/>
      <c r="U283" s="15">
        <f t="shared" ref="U283" si="694">T283*-15</f>
        <v>0</v>
      </c>
      <c r="V283" s="16">
        <f t="shared" ref="V283" si="695">IF(AND(R283=2),10,IF(R283=3,30,IF(R283=4,50,IF(R283=5,70,0))))</f>
        <v>0</v>
      </c>
      <c r="W283" s="17">
        <f t="shared" ref="W283" si="696"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9</v>
      </c>
      <c r="D284" s="21" t="str">
        <f>Spieltag!B271</f>
        <v>Karim Onisiwo (A)</v>
      </c>
      <c r="E284" s="12" t="str">
        <f>Spieltag!C271</f>
        <v>Sturm</v>
      </c>
      <c r="F284" s="13" t="s">
        <v>88</v>
      </c>
      <c r="G284" s="14"/>
      <c r="H284" s="15">
        <f>IF(G284="x",10,0)</f>
        <v>0</v>
      </c>
      <c r="I284" s="14"/>
      <c r="J284" s="15">
        <f>IF((I284="x"),-10,0)</f>
        <v>0</v>
      </c>
      <c r="K284" s="14"/>
      <c r="L284" s="15">
        <f>IF((K284="x"),-20,0)</f>
        <v>0</v>
      </c>
      <c r="M284" s="14"/>
      <c r="N284" s="15">
        <f>IF((M284="x"),-30,0)</f>
        <v>0</v>
      </c>
      <c r="O284" s="16">
        <f t="shared" si="641"/>
        <v>0</v>
      </c>
      <c r="P284" s="16">
        <f t="shared" si="642"/>
        <v>10</v>
      </c>
      <c r="Q284" s="16">
        <f>IF(($W$10&lt;&gt;0),$W$10*-10,5)</f>
        <v>-40</v>
      </c>
      <c r="R284" s="14"/>
      <c r="S284" s="15">
        <f>R284*10</f>
        <v>0</v>
      </c>
      <c r="T284" s="14"/>
      <c r="U284" s="15">
        <f>T284*-15</f>
        <v>0</v>
      </c>
      <c r="V284" s="16">
        <f>IF(AND(R284=2),10,IF(R284=3,30,IF(R284=4,50,IF(R284=5,70,0))))</f>
        <v>0</v>
      </c>
      <c r="W284" s="17">
        <f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17</v>
      </c>
      <c r="D285" s="21" t="str">
        <f>Spieltag!B272</f>
        <v>Ludovic Ajorque (A)</v>
      </c>
      <c r="E285" s="12" t="str">
        <f>Spieltag!C272</f>
        <v>Sturm</v>
      </c>
      <c r="F285" s="13" t="s">
        <v>88</v>
      </c>
      <c r="G285" s="14"/>
      <c r="H285" s="15">
        <f t="shared" ref="H285:H288" si="697">IF(G285="x",10,0)</f>
        <v>0</v>
      </c>
      <c r="I285" s="14"/>
      <c r="J285" s="15">
        <f t="shared" ref="J285:J288" si="698">IF((I285="x"),-10,0)</f>
        <v>0</v>
      </c>
      <c r="K285" s="14"/>
      <c r="L285" s="15">
        <f t="shared" ref="L285:L288" si="699">IF((K285="x"),-20,0)</f>
        <v>0</v>
      </c>
      <c r="M285" s="14"/>
      <c r="N285" s="15">
        <f t="shared" ref="N285:N288" si="700">IF((M285="x"),-30,0)</f>
        <v>0</v>
      </c>
      <c r="O285" s="16">
        <f t="shared" si="641"/>
        <v>0</v>
      </c>
      <c r="P285" s="16">
        <f t="shared" si="642"/>
        <v>10</v>
      </c>
      <c r="Q285" s="16">
        <f t="shared" ref="Q285:Q288" si="701">IF(($W$10&lt;&gt;0),$W$10*-10,5)</f>
        <v>-40</v>
      </c>
      <c r="R285" s="14"/>
      <c r="S285" s="15">
        <f t="shared" ref="S285:S288" si="702">R285*10</f>
        <v>0</v>
      </c>
      <c r="T285" s="14"/>
      <c r="U285" s="15">
        <f t="shared" ref="U285:U288" si="703">T285*-15</f>
        <v>0</v>
      </c>
      <c r="V285" s="16">
        <f t="shared" ref="V285:V288" si="704">IF(AND(R285=2),10,IF(R285=3,30,IF(R285=4,50,IF(R285=5,70,0))))</f>
        <v>0</v>
      </c>
      <c r="W285" s="17">
        <f t="shared" ref="W285:W288" si="705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29</v>
      </c>
      <c r="D286" s="21" t="str">
        <f>Spieltag!B273</f>
        <v>Jonathan Burkardt</v>
      </c>
      <c r="E286" s="12" t="str">
        <f>Spieltag!C273</f>
        <v>Sturm</v>
      </c>
      <c r="F286" s="13" t="s">
        <v>88</v>
      </c>
      <c r="G286" s="14"/>
      <c r="H286" s="15">
        <f t="shared" ref="H286" si="706">IF(G286="x",10,0)</f>
        <v>0</v>
      </c>
      <c r="I286" s="14"/>
      <c r="J286" s="15">
        <f t="shared" ref="J286" si="707">IF((I286="x"),-10,0)</f>
        <v>0</v>
      </c>
      <c r="K286" s="14"/>
      <c r="L286" s="15">
        <f t="shared" ref="L286" si="708">IF((K286="x"),-20,0)</f>
        <v>0</v>
      </c>
      <c r="M286" s="14"/>
      <c r="N286" s="15">
        <f t="shared" ref="N286" si="709">IF((M286="x"),-30,0)</f>
        <v>0</v>
      </c>
      <c r="O286" s="16">
        <f t="shared" si="641"/>
        <v>0</v>
      </c>
      <c r="P286" s="16">
        <f t="shared" si="642"/>
        <v>10</v>
      </c>
      <c r="Q286" s="16">
        <f t="shared" si="701"/>
        <v>-40</v>
      </c>
      <c r="R286" s="14"/>
      <c r="S286" s="15">
        <f t="shared" ref="S286" si="710">R286*10</f>
        <v>0</v>
      </c>
      <c r="T286" s="14"/>
      <c r="U286" s="15">
        <f t="shared" ref="U286" si="711">T286*-15</f>
        <v>0</v>
      </c>
      <c r="V286" s="16">
        <f t="shared" ref="V286" si="712">IF(AND(R286=2),10,IF(R286=3,30,IF(R286=4,50,IF(R286=5,70,0))))</f>
        <v>0</v>
      </c>
      <c r="W286" s="17">
        <f t="shared" ref="W286" si="713">IF(G286="x",H286+J286+L286+N286+O286+P286+Q286+S286+U286+V286,0)</f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43</v>
      </c>
      <c r="D287" s="21" t="str">
        <f>Spieltag!B274</f>
        <v>Brajan Gruda</v>
      </c>
      <c r="E287" s="12" t="str">
        <f>Spieltag!C274</f>
        <v>Sturm</v>
      </c>
      <c r="F287" s="13" t="s">
        <v>88</v>
      </c>
      <c r="G287" s="14"/>
      <c r="H287" s="15">
        <f t="shared" si="697"/>
        <v>0</v>
      </c>
      <c r="I287" s="14"/>
      <c r="J287" s="15">
        <f t="shared" si="698"/>
        <v>0</v>
      </c>
      <c r="K287" s="14"/>
      <c r="L287" s="15">
        <f t="shared" si="699"/>
        <v>0</v>
      </c>
      <c r="M287" s="14"/>
      <c r="N287" s="15">
        <f t="shared" si="700"/>
        <v>0</v>
      </c>
      <c r="O287" s="16">
        <f t="shared" si="641"/>
        <v>0</v>
      </c>
      <c r="P287" s="16">
        <f t="shared" si="642"/>
        <v>10</v>
      </c>
      <c r="Q287" s="16">
        <f t="shared" si="701"/>
        <v>-40</v>
      </c>
      <c r="R287" s="14"/>
      <c r="S287" s="15">
        <f t="shared" si="702"/>
        <v>0</v>
      </c>
      <c r="T287" s="14"/>
      <c r="U287" s="15">
        <f t="shared" si="703"/>
        <v>0</v>
      </c>
      <c r="V287" s="16">
        <f t="shared" si="704"/>
        <v>0</v>
      </c>
      <c r="W287" s="17">
        <f t="shared" si="705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44</v>
      </c>
      <c r="D288" s="21" t="str">
        <f>Spieltag!B275</f>
        <v>Nelson Weiper</v>
      </c>
      <c r="E288" s="12" t="str">
        <f>Spieltag!C275</f>
        <v>Sturm</v>
      </c>
      <c r="F288" s="13" t="s">
        <v>88</v>
      </c>
      <c r="G288" s="14"/>
      <c r="H288" s="15">
        <f t="shared" si="697"/>
        <v>0</v>
      </c>
      <c r="I288" s="14"/>
      <c r="J288" s="15">
        <f t="shared" si="698"/>
        <v>0</v>
      </c>
      <c r="K288" s="14"/>
      <c r="L288" s="15">
        <f t="shared" si="699"/>
        <v>0</v>
      </c>
      <c r="M288" s="14"/>
      <c r="N288" s="15">
        <f t="shared" si="700"/>
        <v>0</v>
      </c>
      <c r="O288" s="16">
        <f t="shared" si="641"/>
        <v>0</v>
      </c>
      <c r="P288" s="16">
        <f t="shared" si="642"/>
        <v>10</v>
      </c>
      <c r="Q288" s="16">
        <f t="shared" si="701"/>
        <v>-40</v>
      </c>
      <c r="R288" s="14"/>
      <c r="S288" s="15">
        <f t="shared" si="702"/>
        <v>0</v>
      </c>
      <c r="T288" s="14"/>
      <c r="U288" s="15">
        <f t="shared" si="703"/>
        <v>0</v>
      </c>
      <c r="V288" s="16">
        <f t="shared" si="704"/>
        <v>0</v>
      </c>
      <c r="W288" s="17">
        <f t="shared" si="705"/>
        <v>0</v>
      </c>
    </row>
    <row r="289" spans="1:23" s="144" customFormat="1" ht="17.25" thickBot="1" x14ac:dyDescent="0.25">
      <c r="A289" s="142"/>
      <c r="B289" s="143">
        <f>SUM(B290:B321)</f>
        <v>3</v>
      </c>
      <c r="C289" s="158"/>
      <c r="D289" s="221" t="s">
        <v>73</v>
      </c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2"/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</v>
      </c>
      <c r="D290" s="21" t="str">
        <f>Spieltag!B277</f>
        <v>Jonas Omlin (A)</v>
      </c>
      <c r="E290" s="12" t="str">
        <f>Spieltag!C277</f>
        <v>Torwart</v>
      </c>
      <c r="F290" s="13" t="s">
        <v>76</v>
      </c>
      <c r="G290" s="14"/>
      <c r="H290" s="15">
        <f>IF(G290="x",10,0)</f>
        <v>0</v>
      </c>
      <c r="I290" s="14"/>
      <c r="J290" s="15">
        <f>IF((I290="x"),-10,0)</f>
        <v>0</v>
      </c>
      <c r="K290" s="14"/>
      <c r="L290" s="15">
        <f>IF((K290="x"),-20,0)</f>
        <v>0</v>
      </c>
      <c r="M290" s="14"/>
      <c r="N290" s="15">
        <f>IF((M290="x"),-30,0)</f>
        <v>0</v>
      </c>
      <c r="O290" s="16">
        <f>IF(AND($V$11&gt;$W$11),20,IF($V$11=$W$11,10,0))</f>
        <v>10</v>
      </c>
      <c r="P290" s="16">
        <f>IF(($V$11&lt;&gt;0),$V$11*10,-5)</f>
        <v>40</v>
      </c>
      <c r="Q290" s="16">
        <f>IF(($W$11&lt;&gt;0),$W$11*-10,20)</f>
        <v>-40</v>
      </c>
      <c r="R290" s="14"/>
      <c r="S290" s="15">
        <f>R290*20</f>
        <v>0</v>
      </c>
      <c r="T290" s="14"/>
      <c r="U290" s="15">
        <f>T290*-15</f>
        <v>0</v>
      </c>
      <c r="V290" s="16">
        <f>IF(AND(R290=2),10,IF(R290=3,30,IF(R290=4,50,IF(R290=5,70,0))))</f>
        <v>0</v>
      </c>
      <c r="W290" s="17">
        <f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21</v>
      </c>
      <c r="D291" s="21" t="str">
        <f>Spieltag!B278</f>
        <v>Tobias Sippel</v>
      </c>
      <c r="E291" s="12" t="str">
        <f>Spieltag!C278</f>
        <v>Torwart</v>
      </c>
      <c r="F291" s="13" t="s">
        <v>76</v>
      </c>
      <c r="G291" s="14"/>
      <c r="H291" s="15">
        <f t="shared" ref="H291:H294" si="714">IF(G291="x",10,0)</f>
        <v>0</v>
      </c>
      <c r="I291" s="14"/>
      <c r="J291" s="15">
        <f t="shared" ref="J291:J294" si="715">IF((I291="x"),-10,0)</f>
        <v>0</v>
      </c>
      <c r="K291" s="14"/>
      <c r="L291" s="15">
        <f t="shared" ref="L291:L294" si="716">IF((K291="x"),-20,0)</f>
        <v>0</v>
      </c>
      <c r="M291" s="14"/>
      <c r="N291" s="15">
        <f t="shared" ref="N291:N294" si="717">IF((M291="x"),-30,0)</f>
        <v>0</v>
      </c>
      <c r="O291" s="16">
        <f t="shared" ref="O291:O294" si="718">IF(AND($V$11&gt;$W$11),20,IF($V$11=$W$11,10,0))</f>
        <v>10</v>
      </c>
      <c r="P291" s="16">
        <f t="shared" ref="P291:P294" si="719">IF(($V$11&lt;&gt;0),$V$11*10,-5)</f>
        <v>40</v>
      </c>
      <c r="Q291" s="16">
        <f t="shared" ref="Q291:Q294" si="720">IF(($W$11&lt;&gt;0),$W$11*-10,20)</f>
        <v>-40</v>
      </c>
      <c r="R291" s="14"/>
      <c r="S291" s="15">
        <f t="shared" ref="S291:S294" si="721">R291*20</f>
        <v>0</v>
      </c>
      <c r="T291" s="14"/>
      <c r="U291" s="15">
        <f t="shared" ref="U291:U294" si="722">T291*-15</f>
        <v>0</v>
      </c>
      <c r="V291" s="16">
        <f t="shared" ref="V291:V294" si="723">IF(AND(R291=2),10,IF(R291=3,30,IF(R291=4,50,IF(R291=5,70,0))))</f>
        <v>0</v>
      </c>
      <c r="W291" s="17">
        <f t="shared" ref="W291:W294" si="724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33</v>
      </c>
      <c r="D292" s="21" t="str">
        <f>Spieltag!B279</f>
        <v>Moritz Nicolas</v>
      </c>
      <c r="E292" s="12" t="str">
        <f>Spieltag!C279</f>
        <v>Torwart</v>
      </c>
      <c r="F292" s="13" t="s">
        <v>76</v>
      </c>
      <c r="G292" s="14"/>
      <c r="H292" s="15">
        <f t="shared" si="714"/>
        <v>0</v>
      </c>
      <c r="I292" s="14"/>
      <c r="J292" s="15">
        <f t="shared" si="715"/>
        <v>0</v>
      </c>
      <c r="K292" s="14"/>
      <c r="L292" s="15">
        <f t="shared" si="716"/>
        <v>0</v>
      </c>
      <c r="M292" s="14"/>
      <c r="N292" s="15">
        <f t="shared" si="717"/>
        <v>0</v>
      </c>
      <c r="O292" s="16">
        <f t="shared" si="718"/>
        <v>10</v>
      </c>
      <c r="P292" s="16">
        <f t="shared" si="719"/>
        <v>40</v>
      </c>
      <c r="Q292" s="16">
        <f t="shared" si="720"/>
        <v>-40</v>
      </c>
      <c r="R292" s="14"/>
      <c r="S292" s="15">
        <f t="shared" si="721"/>
        <v>0</v>
      </c>
      <c r="T292" s="14"/>
      <c r="U292" s="15">
        <f t="shared" si="722"/>
        <v>0</v>
      </c>
      <c r="V292" s="16">
        <f t="shared" si="723"/>
        <v>0</v>
      </c>
      <c r="W292" s="17">
        <f t="shared" si="724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41</v>
      </c>
      <c r="D293" s="21" t="str">
        <f>Spieltag!B280</f>
        <v>Jan Olschowsky</v>
      </c>
      <c r="E293" s="12" t="str">
        <f>Spieltag!C280</f>
        <v>Torwart</v>
      </c>
      <c r="F293" s="13" t="s">
        <v>76</v>
      </c>
      <c r="G293" s="14"/>
      <c r="H293" s="15">
        <f t="shared" ref="H293" si="725">IF(G293="x",10,0)</f>
        <v>0</v>
      </c>
      <c r="I293" s="14"/>
      <c r="J293" s="15">
        <f t="shared" ref="J293" si="726">IF((I293="x"),-10,0)</f>
        <v>0</v>
      </c>
      <c r="K293" s="14"/>
      <c r="L293" s="15">
        <f t="shared" ref="L293" si="727">IF((K293="x"),-20,0)</f>
        <v>0</v>
      </c>
      <c r="M293" s="14"/>
      <c r="N293" s="15">
        <f t="shared" ref="N293" si="728">IF((M293="x"),-30,0)</f>
        <v>0</v>
      </c>
      <c r="O293" s="16">
        <f t="shared" si="718"/>
        <v>10</v>
      </c>
      <c r="P293" s="16">
        <f t="shared" si="719"/>
        <v>40</v>
      </c>
      <c r="Q293" s="16">
        <f t="shared" si="720"/>
        <v>-40</v>
      </c>
      <c r="R293" s="14"/>
      <c r="S293" s="15">
        <f t="shared" ref="S293" si="729">R293*20</f>
        <v>0</v>
      </c>
      <c r="T293" s="14"/>
      <c r="U293" s="15">
        <f t="shared" ref="U293" si="730">T293*-15</f>
        <v>0</v>
      </c>
      <c r="V293" s="16">
        <f t="shared" ref="V293" si="731">IF(AND(R293=2),10,IF(R293=3,30,IF(R293=4,50,IF(R293=5,70,0))))</f>
        <v>0</v>
      </c>
      <c r="W293" s="17">
        <f t="shared" ref="W293" si="732">IF(G293="x",H293+J293+L293+N293+O293+P293+Q293+S293+U293+V293,0)</f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Max Brüll</v>
      </c>
      <c r="E294" s="12" t="str">
        <f>Spieltag!C281</f>
        <v>Torwart</v>
      </c>
      <c r="F294" s="13" t="s">
        <v>76</v>
      </c>
      <c r="G294" s="14"/>
      <c r="H294" s="15">
        <f t="shared" si="714"/>
        <v>0</v>
      </c>
      <c r="I294" s="14"/>
      <c r="J294" s="15">
        <f t="shared" si="715"/>
        <v>0</v>
      </c>
      <c r="K294" s="14"/>
      <c r="L294" s="15">
        <f t="shared" si="716"/>
        <v>0</v>
      </c>
      <c r="M294" s="14"/>
      <c r="N294" s="15">
        <f t="shared" si="717"/>
        <v>0</v>
      </c>
      <c r="O294" s="16">
        <f t="shared" si="718"/>
        <v>10</v>
      </c>
      <c r="P294" s="16">
        <f t="shared" si="719"/>
        <v>40</v>
      </c>
      <c r="Q294" s="16">
        <f t="shared" si="720"/>
        <v>-40</v>
      </c>
      <c r="R294" s="14"/>
      <c r="S294" s="15">
        <f t="shared" si="721"/>
        <v>0</v>
      </c>
      <c r="T294" s="14"/>
      <c r="U294" s="15">
        <f t="shared" si="722"/>
        <v>0</v>
      </c>
      <c r="V294" s="16">
        <f t="shared" si="723"/>
        <v>0</v>
      </c>
      <c r="W294" s="17">
        <f t="shared" si="724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2</v>
      </c>
      <c r="D295" s="21" t="str">
        <f>Spieltag!B282</f>
        <v>Fabio Chiarodia</v>
      </c>
      <c r="E295" s="12" t="str">
        <f>Spieltag!C282</f>
        <v>Abwehr</v>
      </c>
      <c r="F295" s="13" t="s">
        <v>76</v>
      </c>
      <c r="G295" s="14"/>
      <c r="H295" s="15">
        <f t="shared" ref="H295" si="733">IF(G295="x",10,0)</f>
        <v>0</v>
      </c>
      <c r="I295" s="14"/>
      <c r="J295" s="15">
        <f t="shared" ref="J295" si="734">IF((I295="x"),-10,0)</f>
        <v>0</v>
      </c>
      <c r="K295" s="14"/>
      <c r="L295" s="15">
        <f t="shared" ref="L295" si="735">IF((K295="x"),-20,0)</f>
        <v>0</v>
      </c>
      <c r="M295" s="14"/>
      <c r="N295" s="15">
        <f t="shared" ref="N295" si="736">IF((M295="x"),-30,0)</f>
        <v>0</v>
      </c>
      <c r="O295" s="16">
        <f t="shared" ref="O295:O305" si="737">IF(AND($V$11&gt;$W$11),20,IF($V$11=$W$11,10,0))</f>
        <v>10</v>
      </c>
      <c r="P295" s="16">
        <f t="shared" ref="P295:P305" si="738">IF(($V$11&lt;&gt;0),$V$11*10,-5)</f>
        <v>40</v>
      </c>
      <c r="Q295" s="16">
        <f t="shared" ref="Q295:Q305" si="739">IF(($W$11&lt;&gt;0),$W$11*-15,15)</f>
        <v>-60</v>
      </c>
      <c r="R295" s="14"/>
      <c r="S295" s="15">
        <f t="shared" ref="S295" si="740">R295*15</f>
        <v>0</v>
      </c>
      <c r="T295" s="14"/>
      <c r="U295" s="15">
        <f t="shared" ref="U295" si="741">T295*-15</f>
        <v>0</v>
      </c>
      <c r="V295" s="16">
        <f t="shared" ref="V295" si="742">IF(AND(R295=2),10,IF(R295=3,30,IF(R295=4,50,IF(R295=5,70,0))))</f>
        <v>0</v>
      </c>
      <c r="W295" s="17">
        <f t="shared" ref="W295" si="743">IF(G295="x",H295+J295+L295+N295+O295+P295+Q295+S295+U295+V295,0)</f>
        <v>0</v>
      </c>
    </row>
    <row r="296" spans="1:23" ht="10.5" customHeight="1" x14ac:dyDescent="0.2">
      <c r="A296" s="11"/>
      <c r="B296" s="149">
        <f>COUNTA(Spieltag!K283:AA283)</f>
        <v>1</v>
      </c>
      <c r="C296" s="166">
        <f>Spieltag!A283</f>
        <v>3</v>
      </c>
      <c r="D296" s="21" t="str">
        <f>Spieltag!B283</f>
        <v>Ko Itakura (A)</v>
      </c>
      <c r="E296" s="12" t="str">
        <f>Spieltag!C283</f>
        <v>Abwehr</v>
      </c>
      <c r="F296" s="13" t="s">
        <v>76</v>
      </c>
      <c r="G296" s="14" t="s">
        <v>676</v>
      </c>
      <c r="H296" s="15">
        <f t="shared" ref="H296:H305" si="744">IF(G296="x",10,0)</f>
        <v>10</v>
      </c>
      <c r="I296" s="14"/>
      <c r="J296" s="15">
        <f t="shared" ref="J296:J305" si="745">IF((I296="x"),-10,0)</f>
        <v>0</v>
      </c>
      <c r="K296" s="14"/>
      <c r="L296" s="15">
        <f t="shared" ref="L296:L305" si="746">IF((K296="x"),-20,0)</f>
        <v>0</v>
      </c>
      <c r="M296" s="14"/>
      <c r="N296" s="15">
        <f t="shared" ref="N296:N305" si="747">IF((M296="x"),-30,0)</f>
        <v>0</v>
      </c>
      <c r="O296" s="16">
        <f t="shared" si="737"/>
        <v>10</v>
      </c>
      <c r="P296" s="16">
        <f t="shared" si="738"/>
        <v>40</v>
      </c>
      <c r="Q296" s="16">
        <f t="shared" si="739"/>
        <v>-60</v>
      </c>
      <c r="R296" s="14">
        <v>1</v>
      </c>
      <c r="S296" s="15">
        <f t="shared" ref="S296:S305" si="748">R296*15</f>
        <v>15</v>
      </c>
      <c r="T296" s="14"/>
      <c r="U296" s="15">
        <f t="shared" ref="U296:U305" si="749">T296*-15</f>
        <v>0</v>
      </c>
      <c r="V296" s="16">
        <f t="shared" ref="V296:V305" si="750">IF(AND(R296=2),10,IF(R296=3,30,IF(R296=4,50,IF(R296=5,70,0))))</f>
        <v>0</v>
      </c>
      <c r="W296" s="17">
        <f t="shared" ref="W296:W305" si="751">IF(G296="x",H296+J296+L296+N296+O296+P296+Q296+S296+U296+V296,0)</f>
        <v>15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5</v>
      </c>
      <c r="D297" s="21" t="str">
        <f>Spieltag!B284</f>
        <v>Marvin Friedrich</v>
      </c>
      <c r="E297" s="12" t="str">
        <f>Spieltag!C284</f>
        <v>Abwehr</v>
      </c>
      <c r="F297" s="13" t="s">
        <v>76</v>
      </c>
      <c r="G297" s="14"/>
      <c r="H297" s="15">
        <f t="shared" si="744"/>
        <v>0</v>
      </c>
      <c r="I297" s="14"/>
      <c r="J297" s="15">
        <f t="shared" si="745"/>
        <v>0</v>
      </c>
      <c r="K297" s="14"/>
      <c r="L297" s="15">
        <f t="shared" si="746"/>
        <v>0</v>
      </c>
      <c r="M297" s="14"/>
      <c r="N297" s="15">
        <f t="shared" si="747"/>
        <v>0</v>
      </c>
      <c r="O297" s="16">
        <f t="shared" si="737"/>
        <v>10</v>
      </c>
      <c r="P297" s="16">
        <f t="shared" si="738"/>
        <v>40</v>
      </c>
      <c r="Q297" s="16">
        <f t="shared" si="739"/>
        <v>-60</v>
      </c>
      <c r="R297" s="14"/>
      <c r="S297" s="15">
        <f t="shared" si="748"/>
        <v>0</v>
      </c>
      <c r="T297" s="14"/>
      <c r="U297" s="15">
        <f t="shared" si="749"/>
        <v>0</v>
      </c>
      <c r="V297" s="16">
        <f t="shared" si="750"/>
        <v>0</v>
      </c>
      <c r="W297" s="17">
        <f t="shared" si="75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18</v>
      </c>
      <c r="D298" s="21" t="str">
        <f>Spieltag!B285</f>
        <v>Stefan Lainer (A)</v>
      </c>
      <c r="E298" s="12" t="str">
        <f>Spieltag!C285</f>
        <v>Abwehr</v>
      </c>
      <c r="F298" s="13" t="s">
        <v>76</v>
      </c>
      <c r="G298" s="14"/>
      <c r="H298" s="15">
        <f t="shared" si="744"/>
        <v>0</v>
      </c>
      <c r="I298" s="14"/>
      <c r="J298" s="15">
        <f t="shared" si="745"/>
        <v>0</v>
      </c>
      <c r="K298" s="14"/>
      <c r="L298" s="15">
        <f t="shared" si="746"/>
        <v>0</v>
      </c>
      <c r="M298" s="14"/>
      <c r="N298" s="15">
        <f t="shared" si="747"/>
        <v>0</v>
      </c>
      <c r="O298" s="16">
        <f t="shared" si="737"/>
        <v>10</v>
      </c>
      <c r="P298" s="16">
        <f t="shared" si="738"/>
        <v>40</v>
      </c>
      <c r="Q298" s="16">
        <f t="shared" si="739"/>
        <v>-60</v>
      </c>
      <c r="R298" s="14"/>
      <c r="S298" s="15">
        <f t="shared" si="748"/>
        <v>0</v>
      </c>
      <c r="T298" s="14"/>
      <c r="U298" s="15">
        <f t="shared" si="749"/>
        <v>0</v>
      </c>
      <c r="V298" s="16">
        <f t="shared" si="750"/>
        <v>0</v>
      </c>
      <c r="W298" s="17">
        <f t="shared" si="751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20</v>
      </c>
      <c r="D299" s="21" t="str">
        <f>Spieltag!B286</f>
        <v>Luca Netz</v>
      </c>
      <c r="E299" s="12" t="str">
        <f>Spieltag!C286</f>
        <v>Abwehr</v>
      </c>
      <c r="F299" s="13" t="s">
        <v>76</v>
      </c>
      <c r="G299" s="14"/>
      <c r="H299" s="15">
        <f t="shared" si="744"/>
        <v>0</v>
      </c>
      <c r="I299" s="14"/>
      <c r="J299" s="15">
        <f t="shared" si="745"/>
        <v>0</v>
      </c>
      <c r="K299" s="14"/>
      <c r="L299" s="15">
        <f t="shared" si="746"/>
        <v>0</v>
      </c>
      <c r="M299" s="14"/>
      <c r="N299" s="15">
        <f t="shared" si="747"/>
        <v>0</v>
      </c>
      <c r="O299" s="16">
        <f t="shared" si="737"/>
        <v>10</v>
      </c>
      <c r="P299" s="16">
        <f t="shared" si="738"/>
        <v>40</v>
      </c>
      <c r="Q299" s="16">
        <f t="shared" si="739"/>
        <v>-60</v>
      </c>
      <c r="R299" s="14"/>
      <c r="S299" s="15">
        <f t="shared" si="748"/>
        <v>0</v>
      </c>
      <c r="T299" s="14"/>
      <c r="U299" s="15">
        <f t="shared" si="749"/>
        <v>0</v>
      </c>
      <c r="V299" s="16">
        <f t="shared" si="750"/>
        <v>0</v>
      </c>
      <c r="W299" s="17">
        <f t="shared" si="751"/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24</v>
      </c>
      <c r="D300" s="21" t="str">
        <f>Spieltag!B287</f>
        <v>Tony Jantschke</v>
      </c>
      <c r="E300" s="12" t="str">
        <f>Spieltag!C287</f>
        <v>Abwehr</v>
      </c>
      <c r="F300" s="13" t="s">
        <v>76</v>
      </c>
      <c r="G300" s="14"/>
      <c r="H300" s="15">
        <f t="shared" si="744"/>
        <v>0</v>
      </c>
      <c r="I300" s="14"/>
      <c r="J300" s="15">
        <f t="shared" si="745"/>
        <v>0</v>
      </c>
      <c r="K300" s="14"/>
      <c r="L300" s="15">
        <f t="shared" si="746"/>
        <v>0</v>
      </c>
      <c r="M300" s="14"/>
      <c r="N300" s="15">
        <f t="shared" si="747"/>
        <v>0</v>
      </c>
      <c r="O300" s="16">
        <f t="shared" si="737"/>
        <v>10</v>
      </c>
      <c r="P300" s="16">
        <f t="shared" si="738"/>
        <v>40</v>
      </c>
      <c r="Q300" s="16">
        <f t="shared" si="739"/>
        <v>-60</v>
      </c>
      <c r="R300" s="14"/>
      <c r="S300" s="15">
        <f t="shared" si="748"/>
        <v>0</v>
      </c>
      <c r="T300" s="14"/>
      <c r="U300" s="15">
        <f t="shared" si="749"/>
        <v>0</v>
      </c>
      <c r="V300" s="16">
        <f t="shared" si="750"/>
        <v>0</v>
      </c>
      <c r="W300" s="17">
        <f t="shared" si="751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26</v>
      </c>
      <c r="D301" s="21" t="str">
        <f>Spieltag!B288</f>
        <v>Lukas Ullrich</v>
      </c>
      <c r="E301" s="12" t="str">
        <f>Spieltag!C288</f>
        <v>Abwehr</v>
      </c>
      <c r="F301" s="13" t="s">
        <v>76</v>
      </c>
      <c r="G301" s="14"/>
      <c r="H301" s="15">
        <f t="shared" si="744"/>
        <v>0</v>
      </c>
      <c r="I301" s="14"/>
      <c r="J301" s="15">
        <f t="shared" si="745"/>
        <v>0</v>
      </c>
      <c r="K301" s="14"/>
      <c r="L301" s="15">
        <f t="shared" si="746"/>
        <v>0</v>
      </c>
      <c r="M301" s="14"/>
      <c r="N301" s="15">
        <f t="shared" si="747"/>
        <v>0</v>
      </c>
      <c r="O301" s="16">
        <f t="shared" si="737"/>
        <v>10</v>
      </c>
      <c r="P301" s="16">
        <f t="shared" si="738"/>
        <v>40</v>
      </c>
      <c r="Q301" s="16">
        <f t="shared" si="739"/>
        <v>-60</v>
      </c>
      <c r="R301" s="14"/>
      <c r="S301" s="15">
        <f t="shared" si="748"/>
        <v>0</v>
      </c>
      <c r="T301" s="14"/>
      <c r="U301" s="15">
        <f t="shared" si="749"/>
        <v>0</v>
      </c>
      <c r="V301" s="16">
        <f t="shared" si="750"/>
        <v>0</v>
      </c>
      <c r="W301" s="17">
        <f t="shared" si="751"/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29</v>
      </c>
      <c r="D302" s="21" t="str">
        <f>Spieltag!B289</f>
        <v>Joe Scally (A)</v>
      </c>
      <c r="E302" s="12" t="str">
        <f>Spieltag!C289</f>
        <v>Abwehr</v>
      </c>
      <c r="F302" s="13" t="s">
        <v>76</v>
      </c>
      <c r="G302" s="14"/>
      <c r="H302" s="15">
        <f t="shared" si="744"/>
        <v>0</v>
      </c>
      <c r="I302" s="14"/>
      <c r="J302" s="15">
        <f t="shared" si="745"/>
        <v>0</v>
      </c>
      <c r="K302" s="14"/>
      <c r="L302" s="15">
        <f t="shared" si="746"/>
        <v>0</v>
      </c>
      <c r="M302" s="14"/>
      <c r="N302" s="15">
        <f t="shared" si="747"/>
        <v>0</v>
      </c>
      <c r="O302" s="16">
        <f t="shared" si="737"/>
        <v>10</v>
      </c>
      <c r="P302" s="16">
        <f t="shared" si="738"/>
        <v>40</v>
      </c>
      <c r="Q302" s="16">
        <f t="shared" si="739"/>
        <v>-60</v>
      </c>
      <c r="R302" s="14"/>
      <c r="S302" s="15">
        <f t="shared" si="748"/>
        <v>0</v>
      </c>
      <c r="T302" s="14"/>
      <c r="U302" s="15">
        <f t="shared" si="749"/>
        <v>0</v>
      </c>
      <c r="V302" s="16">
        <f t="shared" si="750"/>
        <v>0</v>
      </c>
      <c r="W302" s="17">
        <f t="shared" si="751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30</v>
      </c>
      <c r="D303" s="21" t="str">
        <f>Spieltag!B290</f>
        <v>Nico Elvedi (A)</v>
      </c>
      <c r="E303" s="12" t="str">
        <f>Spieltag!C290</f>
        <v>Abwehr</v>
      </c>
      <c r="F303" s="13" t="s">
        <v>76</v>
      </c>
      <c r="G303" s="14"/>
      <c r="H303" s="15">
        <f t="shared" si="744"/>
        <v>0</v>
      </c>
      <c r="I303" s="14"/>
      <c r="J303" s="15">
        <f t="shared" si="745"/>
        <v>0</v>
      </c>
      <c r="K303" s="14"/>
      <c r="L303" s="15">
        <f t="shared" si="746"/>
        <v>0</v>
      </c>
      <c r="M303" s="14"/>
      <c r="N303" s="15">
        <f t="shared" si="747"/>
        <v>0</v>
      </c>
      <c r="O303" s="16">
        <f t="shared" si="737"/>
        <v>10</v>
      </c>
      <c r="P303" s="16">
        <f t="shared" si="738"/>
        <v>40</v>
      </c>
      <c r="Q303" s="16">
        <f t="shared" si="739"/>
        <v>-60</v>
      </c>
      <c r="R303" s="14"/>
      <c r="S303" s="15">
        <f t="shared" si="748"/>
        <v>0</v>
      </c>
      <c r="T303" s="14"/>
      <c r="U303" s="15">
        <f t="shared" si="749"/>
        <v>0</v>
      </c>
      <c r="V303" s="16">
        <f t="shared" si="750"/>
        <v>0</v>
      </c>
      <c r="W303" s="17">
        <f t="shared" si="751"/>
        <v>0</v>
      </c>
    </row>
    <row r="304" spans="1:23" ht="10.5" customHeight="1" x14ac:dyDescent="0.2">
      <c r="A304" s="11"/>
      <c r="B304" s="149">
        <f>COUNTA(Spieltag!K291:AA291)</f>
        <v>1</v>
      </c>
      <c r="C304" s="166">
        <f>Spieltag!A291</f>
        <v>39</v>
      </c>
      <c r="D304" s="21" t="str">
        <f>Spieltag!B291</f>
        <v>Maximilian Wöber (A)</v>
      </c>
      <c r="E304" s="12" t="str">
        <f>Spieltag!C291</f>
        <v>Abwehr</v>
      </c>
      <c r="F304" s="13" t="s">
        <v>76</v>
      </c>
      <c r="G304" s="14" t="s">
        <v>676</v>
      </c>
      <c r="H304" s="15">
        <f t="shared" si="744"/>
        <v>10</v>
      </c>
      <c r="I304" s="14"/>
      <c r="J304" s="15">
        <f t="shared" si="745"/>
        <v>0</v>
      </c>
      <c r="K304" s="14"/>
      <c r="L304" s="15">
        <f t="shared" si="746"/>
        <v>0</v>
      </c>
      <c r="M304" s="14"/>
      <c r="N304" s="15">
        <f t="shared" si="747"/>
        <v>0</v>
      </c>
      <c r="O304" s="16">
        <f t="shared" si="737"/>
        <v>10</v>
      </c>
      <c r="P304" s="16">
        <f t="shared" si="738"/>
        <v>40</v>
      </c>
      <c r="Q304" s="16">
        <f t="shared" si="739"/>
        <v>-60</v>
      </c>
      <c r="R304" s="14"/>
      <c r="S304" s="15">
        <f t="shared" si="748"/>
        <v>0</v>
      </c>
      <c r="T304" s="14"/>
      <c r="U304" s="15">
        <f t="shared" si="749"/>
        <v>0</v>
      </c>
      <c r="V304" s="16">
        <f t="shared" si="750"/>
        <v>0</v>
      </c>
      <c r="W304" s="17">
        <f t="shared" si="751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45</v>
      </c>
      <c r="D305" s="21" t="str">
        <f>Spieltag!B292</f>
        <v>Simon Walde</v>
      </c>
      <c r="E305" s="12" t="str">
        <f>Spieltag!C292</f>
        <v>Abwehr</v>
      </c>
      <c r="F305" s="13" t="s">
        <v>76</v>
      </c>
      <c r="G305" s="14"/>
      <c r="H305" s="15">
        <f t="shared" si="744"/>
        <v>0</v>
      </c>
      <c r="I305" s="14"/>
      <c r="J305" s="15">
        <f t="shared" si="745"/>
        <v>0</v>
      </c>
      <c r="K305" s="14"/>
      <c r="L305" s="15">
        <f t="shared" si="746"/>
        <v>0</v>
      </c>
      <c r="M305" s="14"/>
      <c r="N305" s="15">
        <f t="shared" si="747"/>
        <v>0</v>
      </c>
      <c r="O305" s="16">
        <f t="shared" si="737"/>
        <v>10</v>
      </c>
      <c r="P305" s="16">
        <f t="shared" si="738"/>
        <v>40</v>
      </c>
      <c r="Q305" s="16">
        <f t="shared" si="739"/>
        <v>-60</v>
      </c>
      <c r="R305" s="14"/>
      <c r="S305" s="15">
        <f t="shared" si="748"/>
        <v>0</v>
      </c>
      <c r="T305" s="14"/>
      <c r="U305" s="15">
        <f t="shared" si="749"/>
        <v>0</v>
      </c>
      <c r="V305" s="16">
        <f t="shared" si="750"/>
        <v>0</v>
      </c>
      <c r="W305" s="17">
        <f t="shared" si="751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8</v>
      </c>
      <c r="D306" s="21" t="str">
        <f>Spieltag!B293</f>
        <v>Julian Weigl</v>
      </c>
      <c r="E306" s="12" t="str">
        <f>Spieltag!C293</f>
        <v>Mittelfeld</v>
      </c>
      <c r="F306" s="13" t="s">
        <v>76</v>
      </c>
      <c r="G306" s="14"/>
      <c r="H306" s="15">
        <f t="shared" ref="H306" si="752">IF(G306="x",10,0)</f>
        <v>0</v>
      </c>
      <c r="I306" s="14"/>
      <c r="J306" s="15">
        <f t="shared" ref="J306" si="753">IF((I306="x"),-10,0)</f>
        <v>0</v>
      </c>
      <c r="K306" s="14"/>
      <c r="L306" s="15">
        <f t="shared" ref="L306" si="754">IF((K306="x"),-20,0)</f>
        <v>0</v>
      </c>
      <c r="M306" s="14"/>
      <c r="N306" s="15">
        <f t="shared" ref="N306" si="755">IF((M306="x"),-30,0)</f>
        <v>0</v>
      </c>
      <c r="O306" s="16">
        <f t="shared" ref="O306:O321" si="756">IF(AND($V$11&gt;$W$11),20,IF($V$11=$W$11,10,0))</f>
        <v>10</v>
      </c>
      <c r="P306" s="16">
        <f t="shared" ref="P306:P321" si="757">IF(($V$11&lt;&gt;0),$V$11*10,-5)</f>
        <v>40</v>
      </c>
      <c r="Q306" s="16">
        <f t="shared" ref="Q306:Q315" si="758">IF(($W$11&lt;&gt;0),$W$11*-10,10)</f>
        <v>-40</v>
      </c>
      <c r="R306" s="14"/>
      <c r="S306" s="15">
        <f t="shared" ref="S306" si="759">R306*10</f>
        <v>0</v>
      </c>
      <c r="T306" s="14"/>
      <c r="U306" s="15">
        <f t="shared" ref="U306" si="760">T306*-15</f>
        <v>0</v>
      </c>
      <c r="V306" s="16">
        <f>IF(AND(R306=2),10,IF(R306=3,30,IF(R306=4,50,IF(R306=5,70,0))))</f>
        <v>0</v>
      </c>
      <c r="W306" s="17">
        <f>IF(G306="x",H306+J306+L306+N306+O306+P306+Q306+S306+U306+V306,0)</f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9</v>
      </c>
      <c r="D307" s="21" t="str">
        <f>Spieltag!B294</f>
        <v>Franck Honorat (A)</v>
      </c>
      <c r="E307" s="12" t="str">
        <f>Spieltag!C294</f>
        <v>Mittelfeld</v>
      </c>
      <c r="F307" s="13" t="s">
        <v>76</v>
      </c>
      <c r="G307" s="14"/>
      <c r="H307" s="15">
        <f t="shared" ref="H307:H314" si="761">IF(G307="x",10,0)</f>
        <v>0</v>
      </c>
      <c r="I307" s="14"/>
      <c r="J307" s="15">
        <f t="shared" ref="J307:J314" si="762">IF((I307="x"),-10,0)</f>
        <v>0</v>
      </c>
      <c r="K307" s="14"/>
      <c r="L307" s="15">
        <f t="shared" ref="L307:L314" si="763">IF((K307="x"),-20,0)</f>
        <v>0</v>
      </c>
      <c r="M307" s="14"/>
      <c r="N307" s="15">
        <f t="shared" ref="N307:N314" si="764">IF((M307="x"),-30,0)</f>
        <v>0</v>
      </c>
      <c r="O307" s="16">
        <f t="shared" si="756"/>
        <v>10</v>
      </c>
      <c r="P307" s="16">
        <f t="shared" si="757"/>
        <v>40</v>
      </c>
      <c r="Q307" s="16">
        <f t="shared" si="758"/>
        <v>-40</v>
      </c>
      <c r="R307" s="14"/>
      <c r="S307" s="15">
        <f t="shared" ref="S307:S314" si="765">R307*10</f>
        <v>0</v>
      </c>
      <c r="T307" s="14"/>
      <c r="U307" s="15">
        <f t="shared" ref="U307:U314" si="766">T307*-15</f>
        <v>0</v>
      </c>
      <c r="V307" s="16">
        <f t="shared" ref="V307:V314" si="767">IF(AND(R307=2),10,IF(R307=3,30,IF(R307=4,50,IF(R307=5,70,0))))</f>
        <v>0</v>
      </c>
      <c r="W307" s="17">
        <f t="shared" ref="W307:W314" si="768">IF(G307="x",H307+J307+L307+N307+O307+P307+Q307+S307+U307+V307,0)</f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11</v>
      </c>
      <c r="D308" s="21" t="str">
        <f>Spieltag!B295</f>
        <v>Hannes Wolf (A)</v>
      </c>
      <c r="E308" s="12" t="str">
        <f>Spieltag!C295</f>
        <v>Mittelfeld</v>
      </c>
      <c r="F308" s="13" t="s">
        <v>76</v>
      </c>
      <c r="G308" s="14"/>
      <c r="H308" s="15">
        <f t="shared" si="761"/>
        <v>0</v>
      </c>
      <c r="I308" s="14"/>
      <c r="J308" s="15">
        <f t="shared" si="762"/>
        <v>0</v>
      </c>
      <c r="K308" s="14"/>
      <c r="L308" s="15">
        <f t="shared" si="763"/>
        <v>0</v>
      </c>
      <c r="M308" s="14"/>
      <c r="N308" s="15">
        <f t="shared" si="764"/>
        <v>0</v>
      </c>
      <c r="O308" s="16">
        <f t="shared" si="756"/>
        <v>10</v>
      </c>
      <c r="P308" s="16">
        <f t="shared" si="757"/>
        <v>40</v>
      </c>
      <c r="Q308" s="16">
        <f t="shared" si="758"/>
        <v>-40</v>
      </c>
      <c r="R308" s="14"/>
      <c r="S308" s="15">
        <f t="shared" si="765"/>
        <v>0</v>
      </c>
      <c r="T308" s="14"/>
      <c r="U308" s="15">
        <f t="shared" si="766"/>
        <v>0</v>
      </c>
      <c r="V308" s="16">
        <f t="shared" si="767"/>
        <v>0</v>
      </c>
      <c r="W308" s="17">
        <f t="shared" si="768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17</v>
      </c>
      <c r="D309" s="21" t="str">
        <f>Spieltag!B296</f>
        <v>Kouadio Kone (A)</v>
      </c>
      <c r="E309" s="12" t="str">
        <f>Spieltag!C296</f>
        <v>Mittelfeld</v>
      </c>
      <c r="F309" s="13" t="s">
        <v>76</v>
      </c>
      <c r="G309" s="14"/>
      <c r="H309" s="15">
        <f t="shared" si="761"/>
        <v>0</v>
      </c>
      <c r="I309" s="14"/>
      <c r="J309" s="15">
        <f t="shared" si="762"/>
        <v>0</v>
      </c>
      <c r="K309" s="14"/>
      <c r="L309" s="15">
        <f t="shared" si="763"/>
        <v>0</v>
      </c>
      <c r="M309" s="14"/>
      <c r="N309" s="15">
        <f t="shared" si="764"/>
        <v>0</v>
      </c>
      <c r="O309" s="16">
        <f t="shared" si="756"/>
        <v>10</v>
      </c>
      <c r="P309" s="16">
        <f t="shared" si="757"/>
        <v>40</v>
      </c>
      <c r="Q309" s="16">
        <f t="shared" si="758"/>
        <v>-40</v>
      </c>
      <c r="R309" s="14"/>
      <c r="S309" s="15">
        <f t="shared" si="765"/>
        <v>0</v>
      </c>
      <c r="T309" s="14"/>
      <c r="U309" s="15">
        <f t="shared" si="766"/>
        <v>0</v>
      </c>
      <c r="V309" s="16">
        <f t="shared" si="767"/>
        <v>0</v>
      </c>
      <c r="W309" s="17">
        <f t="shared" si="768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19</v>
      </c>
      <c r="D310" s="21" t="str">
        <f>Spieltag!B297</f>
        <v>Nathan Ngoumou (A)</v>
      </c>
      <c r="E310" s="12" t="str">
        <f>Spieltag!C297</f>
        <v>Mittelfeld</v>
      </c>
      <c r="F310" s="13" t="s">
        <v>76</v>
      </c>
      <c r="G310" s="14"/>
      <c r="H310" s="15">
        <f t="shared" si="761"/>
        <v>0</v>
      </c>
      <c r="I310" s="14"/>
      <c r="J310" s="15">
        <f t="shared" si="762"/>
        <v>0</v>
      </c>
      <c r="K310" s="14"/>
      <c r="L310" s="15">
        <f t="shared" si="763"/>
        <v>0</v>
      </c>
      <c r="M310" s="14"/>
      <c r="N310" s="15">
        <f t="shared" si="764"/>
        <v>0</v>
      </c>
      <c r="O310" s="16">
        <f t="shared" si="756"/>
        <v>10</v>
      </c>
      <c r="P310" s="16">
        <f t="shared" si="757"/>
        <v>40</v>
      </c>
      <c r="Q310" s="16">
        <f t="shared" si="758"/>
        <v>-40</v>
      </c>
      <c r="R310" s="14"/>
      <c r="S310" s="15">
        <f t="shared" si="765"/>
        <v>0</v>
      </c>
      <c r="T310" s="14"/>
      <c r="U310" s="15">
        <f t="shared" si="766"/>
        <v>0</v>
      </c>
      <c r="V310" s="16">
        <f t="shared" si="767"/>
        <v>0</v>
      </c>
      <c r="W310" s="17">
        <f t="shared" si="768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22</v>
      </c>
      <c r="D311" s="21" t="str">
        <f>Spieltag!B298</f>
        <v>Oscar Fraulo (A)</v>
      </c>
      <c r="E311" s="12" t="str">
        <f>Spieltag!C298</f>
        <v>Mittelfeld</v>
      </c>
      <c r="F311" s="13" t="s">
        <v>76</v>
      </c>
      <c r="G311" s="14"/>
      <c r="H311" s="15">
        <f t="shared" si="761"/>
        <v>0</v>
      </c>
      <c r="I311" s="14"/>
      <c r="J311" s="15">
        <f t="shared" si="762"/>
        <v>0</v>
      </c>
      <c r="K311" s="14"/>
      <c r="L311" s="15">
        <f t="shared" si="763"/>
        <v>0</v>
      </c>
      <c r="M311" s="14"/>
      <c r="N311" s="15">
        <f t="shared" si="764"/>
        <v>0</v>
      </c>
      <c r="O311" s="16">
        <f t="shared" si="756"/>
        <v>10</v>
      </c>
      <c r="P311" s="16">
        <f t="shared" si="757"/>
        <v>40</v>
      </c>
      <c r="Q311" s="16">
        <f t="shared" si="758"/>
        <v>-40</v>
      </c>
      <c r="R311" s="14"/>
      <c r="S311" s="15">
        <f t="shared" si="765"/>
        <v>0</v>
      </c>
      <c r="T311" s="14"/>
      <c r="U311" s="15">
        <f t="shared" si="766"/>
        <v>0</v>
      </c>
      <c r="V311" s="16">
        <f t="shared" si="767"/>
        <v>0</v>
      </c>
      <c r="W311" s="17">
        <f t="shared" si="768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23</v>
      </c>
      <c r="D312" s="21" t="str">
        <f>Spieltag!B299</f>
        <v>Christoph Kramer</v>
      </c>
      <c r="E312" s="12" t="str">
        <f>Spieltag!C299</f>
        <v>Mittelfeld</v>
      </c>
      <c r="F312" s="13" t="s">
        <v>76</v>
      </c>
      <c r="G312" s="14"/>
      <c r="H312" s="15">
        <f t="shared" si="761"/>
        <v>0</v>
      </c>
      <c r="I312" s="14"/>
      <c r="J312" s="15">
        <f t="shared" si="762"/>
        <v>0</v>
      </c>
      <c r="K312" s="14"/>
      <c r="L312" s="15">
        <f t="shared" si="763"/>
        <v>0</v>
      </c>
      <c r="M312" s="14"/>
      <c r="N312" s="15">
        <f t="shared" si="764"/>
        <v>0</v>
      </c>
      <c r="O312" s="16">
        <f t="shared" si="756"/>
        <v>10</v>
      </c>
      <c r="P312" s="16">
        <f t="shared" si="757"/>
        <v>40</v>
      </c>
      <c r="Q312" s="16">
        <f t="shared" si="758"/>
        <v>-40</v>
      </c>
      <c r="R312" s="14"/>
      <c r="S312" s="15">
        <f t="shared" si="765"/>
        <v>0</v>
      </c>
      <c r="T312" s="14"/>
      <c r="U312" s="15">
        <f t="shared" si="766"/>
        <v>0</v>
      </c>
      <c r="V312" s="16">
        <f t="shared" si="767"/>
        <v>0</v>
      </c>
      <c r="W312" s="17">
        <f t="shared" si="768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25</v>
      </c>
      <c r="D313" s="21" t="str">
        <f>Spieltag!B300</f>
        <v>Robin Hack</v>
      </c>
      <c r="E313" s="12" t="str">
        <f>Spieltag!C300</f>
        <v>Mittelfeld</v>
      </c>
      <c r="F313" s="13" t="s">
        <v>76</v>
      </c>
      <c r="G313" s="14"/>
      <c r="H313" s="15">
        <f t="shared" si="761"/>
        <v>0</v>
      </c>
      <c r="I313" s="14"/>
      <c r="J313" s="15">
        <f t="shared" si="762"/>
        <v>0</v>
      </c>
      <c r="K313" s="14"/>
      <c r="L313" s="15">
        <f t="shared" si="763"/>
        <v>0</v>
      </c>
      <c r="M313" s="14"/>
      <c r="N313" s="15">
        <f t="shared" si="764"/>
        <v>0</v>
      </c>
      <c r="O313" s="16">
        <f t="shared" si="756"/>
        <v>10</v>
      </c>
      <c r="P313" s="16">
        <f t="shared" si="757"/>
        <v>40</v>
      </c>
      <c r="Q313" s="16">
        <f t="shared" si="758"/>
        <v>-40</v>
      </c>
      <c r="R313" s="14"/>
      <c r="S313" s="15">
        <f t="shared" si="765"/>
        <v>0</v>
      </c>
      <c r="T313" s="14"/>
      <c r="U313" s="15">
        <f t="shared" si="766"/>
        <v>0</v>
      </c>
      <c r="V313" s="16">
        <f t="shared" si="767"/>
        <v>0</v>
      </c>
      <c r="W313" s="17">
        <f t="shared" si="768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27</v>
      </c>
      <c r="D314" s="21" t="str">
        <f>Spieltag!B301</f>
        <v>Rocco Reitz</v>
      </c>
      <c r="E314" s="12" t="str">
        <f>Spieltag!C301</f>
        <v>Mittelfeld</v>
      </c>
      <c r="F314" s="13" t="s">
        <v>76</v>
      </c>
      <c r="G314" s="14"/>
      <c r="H314" s="15">
        <f t="shared" si="761"/>
        <v>0</v>
      </c>
      <c r="I314" s="14"/>
      <c r="J314" s="15">
        <f t="shared" si="762"/>
        <v>0</v>
      </c>
      <c r="K314" s="14"/>
      <c r="L314" s="15">
        <f t="shared" si="763"/>
        <v>0</v>
      </c>
      <c r="M314" s="14"/>
      <c r="N314" s="15">
        <f t="shared" si="764"/>
        <v>0</v>
      </c>
      <c r="O314" s="16">
        <f t="shared" si="756"/>
        <v>10</v>
      </c>
      <c r="P314" s="16">
        <f t="shared" si="757"/>
        <v>40</v>
      </c>
      <c r="Q314" s="16">
        <f t="shared" si="758"/>
        <v>-40</v>
      </c>
      <c r="R314" s="14"/>
      <c r="S314" s="15">
        <f t="shared" si="765"/>
        <v>0</v>
      </c>
      <c r="T314" s="14"/>
      <c r="U314" s="15">
        <f t="shared" si="766"/>
        <v>0</v>
      </c>
      <c r="V314" s="16">
        <f t="shared" si="767"/>
        <v>0</v>
      </c>
      <c r="W314" s="17">
        <f t="shared" si="768"/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32</v>
      </c>
      <c r="D315" s="21" t="str">
        <f>Spieltag!B302</f>
        <v>Florian Neuhaus</v>
      </c>
      <c r="E315" s="12" t="str">
        <f>Spieltag!C302</f>
        <v>Mittelfeld</v>
      </c>
      <c r="F315" s="13" t="s">
        <v>76</v>
      </c>
      <c r="G315" s="14"/>
      <c r="H315" s="15">
        <f t="shared" ref="H315" si="769">IF(G315="x",10,0)</f>
        <v>0</v>
      </c>
      <c r="I315" s="14"/>
      <c r="J315" s="15">
        <f t="shared" ref="J315" si="770">IF((I315="x"),-10,0)</f>
        <v>0</v>
      </c>
      <c r="K315" s="14"/>
      <c r="L315" s="15">
        <f t="shared" ref="L315" si="771">IF((K315="x"),-20,0)</f>
        <v>0</v>
      </c>
      <c r="M315" s="14"/>
      <c r="N315" s="15">
        <f t="shared" ref="N315" si="772">IF((M315="x"),-30,0)</f>
        <v>0</v>
      </c>
      <c r="O315" s="16">
        <f t="shared" si="756"/>
        <v>10</v>
      </c>
      <c r="P315" s="16">
        <f t="shared" si="757"/>
        <v>40</v>
      </c>
      <c r="Q315" s="16">
        <f t="shared" si="758"/>
        <v>-40</v>
      </c>
      <c r="R315" s="14"/>
      <c r="S315" s="15">
        <f t="shared" ref="S315" si="773">R315*10</f>
        <v>0</v>
      </c>
      <c r="T315" s="14"/>
      <c r="U315" s="15">
        <f t="shared" ref="U315" si="774">T315*-15</f>
        <v>0</v>
      </c>
      <c r="V315" s="16">
        <f t="shared" ref="V315" si="775">IF(AND(R315=2),10,IF(R315=3,30,IF(R315=4,50,IF(R315=5,70,0))))</f>
        <v>0</v>
      </c>
      <c r="W315" s="17">
        <f t="shared" ref="W315" si="776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7</v>
      </c>
      <c r="D316" s="21" t="str">
        <f>Spieltag!B303</f>
        <v>Patrick Herrmann</v>
      </c>
      <c r="E316" s="12" t="str">
        <f>Spieltag!C303</f>
        <v>Sturm</v>
      </c>
      <c r="F316" s="13" t="s">
        <v>76</v>
      </c>
      <c r="G316" s="14"/>
      <c r="H316" s="15">
        <f>IF(G316="x",10,0)</f>
        <v>0</v>
      </c>
      <c r="I316" s="14"/>
      <c r="J316" s="15">
        <f>IF((I316="x"),-10,0)</f>
        <v>0</v>
      </c>
      <c r="K316" s="14"/>
      <c r="L316" s="15">
        <f>IF((K316="x"),-20,0)</f>
        <v>0</v>
      </c>
      <c r="M316" s="14"/>
      <c r="N316" s="15">
        <f>IF((M316="x"),-30,0)</f>
        <v>0</v>
      </c>
      <c r="O316" s="16">
        <f t="shared" si="756"/>
        <v>10</v>
      </c>
      <c r="P316" s="16">
        <f t="shared" si="757"/>
        <v>40</v>
      </c>
      <c r="Q316" s="16">
        <f>IF(($W$11&lt;&gt;0),$W$11*-10,5)</f>
        <v>-40</v>
      </c>
      <c r="R316" s="14"/>
      <c r="S316" s="15">
        <f>R316*10</f>
        <v>0</v>
      </c>
      <c r="T316" s="14"/>
      <c r="U316" s="15">
        <f>T316*-15</f>
        <v>0</v>
      </c>
      <c r="V316" s="16">
        <f>IF(AND(R316=2),10,IF(R316=3,30,IF(R316=4,50,IF(R316=5,70,0))))</f>
        <v>0</v>
      </c>
      <c r="W316" s="17">
        <f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14</v>
      </c>
      <c r="D317" s="21" t="str">
        <f>Spieltag!B304</f>
        <v>Alassane Plea (A)</v>
      </c>
      <c r="E317" s="12" t="str">
        <f>Spieltag!C304</f>
        <v>Sturm</v>
      </c>
      <c r="F317" s="13" t="s">
        <v>76</v>
      </c>
      <c r="G317" s="14"/>
      <c r="H317" s="15">
        <f t="shared" ref="H317:H321" si="777">IF(G317="x",10,0)</f>
        <v>0</v>
      </c>
      <c r="I317" s="14"/>
      <c r="J317" s="15">
        <f t="shared" ref="J317:J321" si="778">IF((I317="x"),-10,0)</f>
        <v>0</v>
      </c>
      <c r="K317" s="14"/>
      <c r="L317" s="15">
        <f t="shared" ref="L317:L321" si="779">IF((K317="x"),-20,0)</f>
        <v>0</v>
      </c>
      <c r="M317" s="14"/>
      <c r="N317" s="15">
        <f t="shared" ref="N317:N321" si="780">IF((M317="x"),-30,0)</f>
        <v>0</v>
      </c>
      <c r="O317" s="16">
        <f t="shared" si="756"/>
        <v>10</v>
      </c>
      <c r="P317" s="16">
        <f t="shared" si="757"/>
        <v>40</v>
      </c>
      <c r="Q317" s="16">
        <f t="shared" ref="Q317:Q321" si="781">IF(($W$11&lt;&gt;0),$W$11*-10,5)</f>
        <v>-40</v>
      </c>
      <c r="R317" s="14"/>
      <c r="S317" s="15">
        <f t="shared" ref="S317:S321" si="782">R317*10</f>
        <v>0</v>
      </c>
      <c r="T317" s="14"/>
      <c r="U317" s="15">
        <f t="shared" ref="U317:U321" si="783">T317*-15</f>
        <v>0</v>
      </c>
      <c r="V317" s="16">
        <f t="shared" ref="V317:V321" si="784">IF(AND(R317=2),10,IF(R317=3,30,IF(R317=4,50,IF(R317=5,70,0))))</f>
        <v>0</v>
      </c>
      <c r="W317" s="17">
        <f t="shared" ref="W317:W321" si="785">IF(G317="x",H317+J317+L317+N317+O317+P317+Q317+S317+U317+V317,0)</f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28</v>
      </c>
      <c r="D318" s="21" t="str">
        <f>Spieltag!B305</f>
        <v>Grant-Leon Ranos</v>
      </c>
      <c r="E318" s="12" t="str">
        <f>Spieltag!C305</f>
        <v>Sturm</v>
      </c>
      <c r="F318" s="13" t="s">
        <v>76</v>
      </c>
      <c r="G318" s="14"/>
      <c r="H318" s="15">
        <f t="shared" si="777"/>
        <v>0</v>
      </c>
      <c r="I318" s="14"/>
      <c r="J318" s="15">
        <f t="shared" si="778"/>
        <v>0</v>
      </c>
      <c r="K318" s="14"/>
      <c r="L318" s="15">
        <f t="shared" si="779"/>
        <v>0</v>
      </c>
      <c r="M318" s="14"/>
      <c r="N318" s="15">
        <f t="shared" si="780"/>
        <v>0</v>
      </c>
      <c r="O318" s="16">
        <f t="shared" si="756"/>
        <v>10</v>
      </c>
      <c r="P318" s="16">
        <f t="shared" si="757"/>
        <v>40</v>
      </c>
      <c r="Q318" s="16">
        <f t="shared" si="781"/>
        <v>-40</v>
      </c>
      <c r="R318" s="14"/>
      <c r="S318" s="15">
        <f t="shared" si="782"/>
        <v>0</v>
      </c>
      <c r="T318" s="14"/>
      <c r="U318" s="15">
        <f t="shared" si="783"/>
        <v>0</v>
      </c>
      <c r="V318" s="16">
        <f t="shared" si="784"/>
        <v>0</v>
      </c>
      <c r="W318" s="17">
        <f t="shared" si="785"/>
        <v>0</v>
      </c>
    </row>
    <row r="319" spans="1:23" ht="10.5" customHeight="1" x14ac:dyDescent="0.2">
      <c r="A319" s="11"/>
      <c r="B319" s="149">
        <f>COUNTA(Spieltag!K306:AA306)</f>
        <v>1</v>
      </c>
      <c r="C319" s="166">
        <f>Spieltag!A306</f>
        <v>31</v>
      </c>
      <c r="D319" s="21" t="str">
        <f>Spieltag!B306</f>
        <v>Tomas Cvancara (A)</v>
      </c>
      <c r="E319" s="12" t="str">
        <f>Spieltag!C306</f>
        <v>Sturm</v>
      </c>
      <c r="F319" s="13" t="s">
        <v>76</v>
      </c>
      <c r="G319" s="14" t="s">
        <v>676</v>
      </c>
      <c r="H319" s="15">
        <f t="shared" si="777"/>
        <v>10</v>
      </c>
      <c r="I319" s="14" t="s">
        <v>676</v>
      </c>
      <c r="J319" s="15">
        <f t="shared" si="778"/>
        <v>-10</v>
      </c>
      <c r="K319" s="14"/>
      <c r="L319" s="15">
        <f t="shared" si="779"/>
        <v>0</v>
      </c>
      <c r="M319" s="14"/>
      <c r="N319" s="15">
        <f t="shared" si="780"/>
        <v>0</v>
      </c>
      <c r="O319" s="16">
        <f t="shared" si="756"/>
        <v>10</v>
      </c>
      <c r="P319" s="16">
        <f t="shared" si="757"/>
        <v>40</v>
      </c>
      <c r="Q319" s="16">
        <f t="shared" si="781"/>
        <v>-40</v>
      </c>
      <c r="R319" s="14">
        <v>1</v>
      </c>
      <c r="S319" s="15">
        <f t="shared" si="782"/>
        <v>10</v>
      </c>
      <c r="T319" s="14"/>
      <c r="U319" s="15">
        <f t="shared" si="783"/>
        <v>0</v>
      </c>
      <c r="V319" s="16">
        <f t="shared" si="784"/>
        <v>0</v>
      </c>
      <c r="W319" s="17">
        <f t="shared" si="785"/>
        <v>20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38</v>
      </c>
      <c r="D320" s="21" t="str">
        <f>Spieltag!B307</f>
        <v>Yvandro Borges Sanches (A)</v>
      </c>
      <c r="E320" s="12" t="str">
        <f>Spieltag!C307</f>
        <v>Sturm</v>
      </c>
      <c r="F320" s="13" t="s">
        <v>76</v>
      </c>
      <c r="G320" s="14"/>
      <c r="H320" s="15">
        <f t="shared" si="777"/>
        <v>0</v>
      </c>
      <c r="I320" s="14"/>
      <c r="J320" s="15">
        <f t="shared" si="778"/>
        <v>0</v>
      </c>
      <c r="K320" s="14"/>
      <c r="L320" s="15">
        <f t="shared" si="779"/>
        <v>0</v>
      </c>
      <c r="M320" s="14"/>
      <c r="N320" s="15">
        <f t="shared" si="780"/>
        <v>0</v>
      </c>
      <c r="O320" s="16">
        <f t="shared" si="756"/>
        <v>10</v>
      </c>
      <c r="P320" s="16">
        <f t="shared" si="757"/>
        <v>40</v>
      </c>
      <c r="Q320" s="16">
        <f t="shared" si="781"/>
        <v>-40</v>
      </c>
      <c r="R320" s="14"/>
      <c r="S320" s="15">
        <f t="shared" si="782"/>
        <v>0</v>
      </c>
      <c r="T320" s="14"/>
      <c r="U320" s="15">
        <f t="shared" si="783"/>
        <v>0</v>
      </c>
      <c r="V320" s="16">
        <f t="shared" si="784"/>
        <v>0</v>
      </c>
      <c r="W320" s="17">
        <f t="shared" si="785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48</v>
      </c>
      <c r="D321" s="21" t="str">
        <f>Spieltag!B308</f>
        <v>Semir Telalovic</v>
      </c>
      <c r="E321" s="12" t="str">
        <f>Spieltag!C308</f>
        <v>Sturm</v>
      </c>
      <c r="F321" s="13" t="s">
        <v>76</v>
      </c>
      <c r="G321" s="14"/>
      <c r="H321" s="15">
        <f t="shared" si="777"/>
        <v>0</v>
      </c>
      <c r="I321" s="14"/>
      <c r="J321" s="15">
        <f t="shared" si="778"/>
        <v>0</v>
      </c>
      <c r="K321" s="14"/>
      <c r="L321" s="15">
        <f t="shared" si="779"/>
        <v>0</v>
      </c>
      <c r="M321" s="14"/>
      <c r="N321" s="15">
        <f t="shared" si="780"/>
        <v>0</v>
      </c>
      <c r="O321" s="16">
        <f t="shared" si="756"/>
        <v>10</v>
      </c>
      <c r="P321" s="16">
        <f t="shared" si="757"/>
        <v>40</v>
      </c>
      <c r="Q321" s="16">
        <f t="shared" si="781"/>
        <v>-40</v>
      </c>
      <c r="R321" s="14"/>
      <c r="S321" s="15">
        <f t="shared" si="782"/>
        <v>0</v>
      </c>
      <c r="T321" s="14"/>
      <c r="U321" s="15">
        <f t="shared" si="783"/>
        <v>0</v>
      </c>
      <c r="V321" s="16">
        <f t="shared" si="784"/>
        <v>0</v>
      </c>
      <c r="W321" s="17">
        <f t="shared" si="785"/>
        <v>0</v>
      </c>
    </row>
    <row r="322" spans="1:23" s="144" customFormat="1" ht="17.25" hidden="1" thickBot="1" x14ac:dyDescent="0.25">
      <c r="A322" s="142"/>
      <c r="B322" s="143">
        <f>SUM(B323:B351)</f>
        <v>0</v>
      </c>
      <c r="C322" s="158"/>
      <c r="D322" s="221" t="s">
        <v>188</v>
      </c>
      <c r="E322" s="221"/>
      <c r="F322" s="221"/>
      <c r="G322" s="221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2"/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1</v>
      </c>
      <c r="D323" s="21" t="str">
        <f>Spieltag!B310</f>
        <v>Marvin Schwäbe</v>
      </c>
      <c r="E323" s="151" t="str">
        <f>Spieltag!C310</f>
        <v>Torwart</v>
      </c>
      <c r="F323" s="152" t="s">
        <v>183</v>
      </c>
      <c r="G323" s="153"/>
      <c r="H323" s="154">
        <f>IF(G323="x",10,0)</f>
        <v>0</v>
      </c>
      <c r="I323" s="153"/>
      <c r="J323" s="154">
        <f>IF((I323="x"),-10,0)</f>
        <v>0</v>
      </c>
      <c r="K323" s="153"/>
      <c r="L323" s="154">
        <f>IF((K323="x"),-20,0)</f>
        <v>0</v>
      </c>
      <c r="M323" s="153"/>
      <c r="N323" s="154">
        <f>IF((M323="x"),-30,0)</f>
        <v>0</v>
      </c>
      <c r="O323" s="155">
        <f t="shared" ref="O323:O336" si="786">IF(AND($V$5&gt;$W$5),20,IF($V$5=$W$5,10,0))</f>
        <v>0</v>
      </c>
      <c r="P323" s="155">
        <f t="shared" ref="P323:P336" si="787">IF(($V$5&lt;&gt;0),$V$5*10,-5)</f>
        <v>-5</v>
      </c>
      <c r="Q323" s="155">
        <f>IF(($W$5&lt;&gt;0),$W$5*-10,20)</f>
        <v>-10</v>
      </c>
      <c r="R323" s="153"/>
      <c r="S323" s="154">
        <f>R323*20</f>
        <v>0</v>
      </c>
      <c r="T323" s="153"/>
      <c r="U323" s="154">
        <f>T323*-15</f>
        <v>0</v>
      </c>
      <c r="V323" s="155">
        <f>IF(AND(R323=2),10,IF(R323=3,30,IF(R323=4,50,IF(R323=5,70,0))))</f>
        <v>0</v>
      </c>
      <c r="W323" s="156">
        <f>IF(G323="x",H323+J323+L323+N323+O323+P323+Q323+S323+U323+V323,0)</f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12</v>
      </c>
      <c r="D324" s="21" t="str">
        <f>Spieltag!B311</f>
        <v>Jonas Nickisch</v>
      </c>
      <c r="E324" s="151" t="str">
        <f>Spieltag!C311</f>
        <v>Torwart</v>
      </c>
      <c r="F324" s="152" t="s">
        <v>183</v>
      </c>
      <c r="G324" s="153"/>
      <c r="H324" s="154">
        <f t="shared" ref="H324" si="788">IF(G324="x",10,0)</f>
        <v>0</v>
      </c>
      <c r="I324" s="153"/>
      <c r="J324" s="154">
        <f t="shared" ref="J324" si="789">IF((I324="x"),-10,0)</f>
        <v>0</v>
      </c>
      <c r="K324" s="153"/>
      <c r="L324" s="154">
        <f t="shared" ref="L324" si="790">IF((K324="x"),-20,0)</f>
        <v>0</v>
      </c>
      <c r="M324" s="153"/>
      <c r="N324" s="154">
        <f t="shared" ref="N324" si="791">IF((M324="x"),-30,0)</f>
        <v>0</v>
      </c>
      <c r="O324" s="155">
        <f t="shared" si="786"/>
        <v>0</v>
      </c>
      <c r="P324" s="155">
        <f t="shared" si="787"/>
        <v>-5</v>
      </c>
      <c r="Q324" s="155">
        <f t="shared" ref="Q324:Q326" si="792">IF(($W$5&lt;&gt;0),$W$5*-10,20)</f>
        <v>-10</v>
      </c>
      <c r="R324" s="153"/>
      <c r="S324" s="154">
        <f t="shared" ref="S324" si="793">R324*20</f>
        <v>0</v>
      </c>
      <c r="T324" s="153"/>
      <c r="U324" s="154">
        <f t="shared" ref="U324" si="794">T324*-15</f>
        <v>0</v>
      </c>
      <c r="V324" s="155">
        <f t="shared" ref="V324" si="795">IF(AND(R324=2),10,IF(R324=3,30,IF(R324=4,50,IF(R324=5,70,0))))</f>
        <v>0</v>
      </c>
      <c r="W324" s="156">
        <f t="shared" ref="W324" si="796">IF(G324="x",H324+J324+L324+N324+O324+P324+Q324+S324+U324+V324,0)</f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20</v>
      </c>
      <c r="D325" s="21" t="str">
        <f>Spieltag!B312</f>
        <v>Philipp Pentke</v>
      </c>
      <c r="E325" s="151" t="str">
        <f>Spieltag!C312</f>
        <v>Torwart</v>
      </c>
      <c r="F325" s="152" t="s">
        <v>183</v>
      </c>
      <c r="G325" s="153"/>
      <c r="H325" s="154">
        <f t="shared" ref="H325:H326" si="797">IF(G325="x",10,0)</f>
        <v>0</v>
      </c>
      <c r="I325" s="153"/>
      <c r="J325" s="154">
        <f t="shared" ref="J325:J326" si="798">IF((I325="x"),-10,0)</f>
        <v>0</v>
      </c>
      <c r="K325" s="153"/>
      <c r="L325" s="154">
        <f t="shared" ref="L325:L326" si="799">IF((K325="x"),-20,0)</f>
        <v>0</v>
      </c>
      <c r="M325" s="153"/>
      <c r="N325" s="154">
        <f t="shared" ref="N325:N326" si="800">IF((M325="x"),-30,0)</f>
        <v>0</v>
      </c>
      <c r="O325" s="155">
        <f t="shared" si="786"/>
        <v>0</v>
      </c>
      <c r="P325" s="155">
        <f t="shared" si="787"/>
        <v>-5</v>
      </c>
      <c r="Q325" s="155">
        <f t="shared" si="792"/>
        <v>-10</v>
      </c>
      <c r="R325" s="153"/>
      <c r="S325" s="154">
        <f t="shared" ref="S325:S326" si="801">R325*20</f>
        <v>0</v>
      </c>
      <c r="T325" s="153"/>
      <c r="U325" s="154">
        <f t="shared" ref="U325:U326" si="802">T325*-15</f>
        <v>0</v>
      </c>
      <c r="V325" s="155">
        <f t="shared" ref="V325:V326" si="803">IF(AND(R325=2),10,IF(R325=3,30,IF(R325=4,50,IF(R325=5,70,0))))</f>
        <v>0</v>
      </c>
      <c r="W325" s="156">
        <f t="shared" ref="W325:W326" si="804">IF(G325="x",H325+J325+L325+N325+O325+P325+Q325+S325+U325+V325,0)</f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44</v>
      </c>
      <c r="D326" s="21" t="str">
        <f>Spieltag!B313</f>
        <v>Matthias Köbbing</v>
      </c>
      <c r="E326" s="151" t="str">
        <f>Spieltag!C313</f>
        <v>Torwart</v>
      </c>
      <c r="F326" s="152" t="s">
        <v>183</v>
      </c>
      <c r="G326" s="153"/>
      <c r="H326" s="154">
        <f t="shared" si="797"/>
        <v>0</v>
      </c>
      <c r="I326" s="153"/>
      <c r="J326" s="154">
        <f t="shared" si="798"/>
        <v>0</v>
      </c>
      <c r="K326" s="153"/>
      <c r="L326" s="154">
        <f t="shared" si="799"/>
        <v>0</v>
      </c>
      <c r="M326" s="153"/>
      <c r="N326" s="154">
        <f t="shared" si="800"/>
        <v>0</v>
      </c>
      <c r="O326" s="155">
        <f t="shared" si="786"/>
        <v>0</v>
      </c>
      <c r="P326" s="155">
        <f t="shared" si="787"/>
        <v>-5</v>
      </c>
      <c r="Q326" s="155">
        <f t="shared" si="792"/>
        <v>-10</v>
      </c>
      <c r="R326" s="153"/>
      <c r="S326" s="154">
        <f t="shared" si="801"/>
        <v>0</v>
      </c>
      <c r="T326" s="153"/>
      <c r="U326" s="154">
        <f t="shared" si="802"/>
        <v>0</v>
      </c>
      <c r="V326" s="155">
        <f t="shared" si="803"/>
        <v>0</v>
      </c>
      <c r="W326" s="156">
        <f t="shared" si="804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2</v>
      </c>
      <c r="D327" s="21" t="str">
        <f>Spieltag!B314</f>
        <v>Benno Schmitz</v>
      </c>
      <c r="E327" s="151" t="str">
        <f>Spieltag!C314</f>
        <v>Abwehr</v>
      </c>
      <c r="F327" s="152" t="s">
        <v>183</v>
      </c>
      <c r="G327" s="153"/>
      <c r="H327" s="154">
        <f>IF(G327="x",10,0)</f>
        <v>0</v>
      </c>
      <c r="I327" s="153"/>
      <c r="J327" s="154">
        <f>IF((I327="x"),-10,0)</f>
        <v>0</v>
      </c>
      <c r="K327" s="153"/>
      <c r="L327" s="154">
        <f>IF((K327="x"),-20,0)</f>
        <v>0</v>
      </c>
      <c r="M327" s="153"/>
      <c r="N327" s="154">
        <f>IF((M327="x"),-30,0)</f>
        <v>0</v>
      </c>
      <c r="O327" s="155">
        <f t="shared" si="786"/>
        <v>0</v>
      </c>
      <c r="P327" s="155">
        <f t="shared" si="787"/>
        <v>-5</v>
      </c>
      <c r="Q327" s="155">
        <f t="shared" ref="Q327:Q336" si="805">IF(($W$5&lt;&gt;0),$W$5*-10,15)</f>
        <v>-10</v>
      </c>
      <c r="R327" s="153"/>
      <c r="S327" s="154">
        <f>R327*15</f>
        <v>0</v>
      </c>
      <c r="T327" s="153"/>
      <c r="U327" s="154">
        <f>T327*-15</f>
        <v>0</v>
      </c>
      <c r="V327" s="155">
        <f>IF(AND(R327=2),10,IF(R327=3,30,IF(R327=4,50,IF(R327=5,70,0))))</f>
        <v>0</v>
      </c>
      <c r="W327" s="156">
        <f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3</v>
      </c>
      <c r="D328" s="21" t="str">
        <f>Spieltag!B315</f>
        <v>Kristian Pedersen (A)</v>
      </c>
      <c r="E328" s="151" t="str">
        <f>Spieltag!C315</f>
        <v>Abwehr</v>
      </c>
      <c r="F328" s="152" t="s">
        <v>183</v>
      </c>
      <c r="G328" s="153"/>
      <c r="H328" s="154">
        <f t="shared" ref="H328:H336" si="806">IF(G328="x",10,0)</f>
        <v>0</v>
      </c>
      <c r="I328" s="153"/>
      <c r="J328" s="154">
        <f t="shared" ref="J328:J336" si="807">IF((I328="x"),-10,0)</f>
        <v>0</v>
      </c>
      <c r="K328" s="153"/>
      <c r="L328" s="154">
        <f t="shared" ref="L328:L336" si="808">IF((K328="x"),-20,0)</f>
        <v>0</v>
      </c>
      <c r="M328" s="153"/>
      <c r="N328" s="154">
        <f t="shared" ref="N328:N336" si="809">IF((M328="x"),-30,0)</f>
        <v>0</v>
      </c>
      <c r="O328" s="155">
        <f t="shared" si="786"/>
        <v>0</v>
      </c>
      <c r="P328" s="155">
        <f t="shared" si="787"/>
        <v>-5</v>
      </c>
      <c r="Q328" s="155">
        <f t="shared" si="805"/>
        <v>-10</v>
      </c>
      <c r="R328" s="153"/>
      <c r="S328" s="154">
        <f t="shared" ref="S328:S336" si="810">R328*15</f>
        <v>0</v>
      </c>
      <c r="T328" s="153"/>
      <c r="U328" s="154">
        <f t="shared" ref="U328:U336" si="811">T328*-15</f>
        <v>0</v>
      </c>
      <c r="V328" s="155">
        <f t="shared" ref="V328:V336" si="812">IF(AND(R328=2),10,IF(R328=3,30,IF(R328=4,50,IF(R328=5,70,0))))</f>
        <v>0</v>
      </c>
      <c r="W328" s="156">
        <f t="shared" ref="W328:W336" si="813">IF(G328="x",H328+J328+L328+N328+O328+P328+Q328+S328+U328+V328,0)</f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4</v>
      </c>
      <c r="D329" s="21" t="str">
        <f>Spieltag!B316</f>
        <v>Timo Hübers</v>
      </c>
      <c r="E329" s="151" t="str">
        <f>Spieltag!C316</f>
        <v>Abwehr</v>
      </c>
      <c r="F329" s="152" t="s">
        <v>183</v>
      </c>
      <c r="G329" s="153"/>
      <c r="H329" s="154">
        <f t="shared" si="806"/>
        <v>0</v>
      </c>
      <c r="I329" s="153"/>
      <c r="J329" s="154">
        <f t="shared" si="807"/>
        <v>0</v>
      </c>
      <c r="K329" s="153"/>
      <c r="L329" s="154">
        <f t="shared" si="808"/>
        <v>0</v>
      </c>
      <c r="M329" s="153"/>
      <c r="N329" s="154">
        <f t="shared" si="809"/>
        <v>0</v>
      </c>
      <c r="O329" s="155">
        <f t="shared" si="786"/>
        <v>0</v>
      </c>
      <c r="P329" s="155">
        <f t="shared" si="787"/>
        <v>-5</v>
      </c>
      <c r="Q329" s="155">
        <f t="shared" si="805"/>
        <v>-10</v>
      </c>
      <c r="R329" s="153"/>
      <c r="S329" s="154">
        <f t="shared" si="810"/>
        <v>0</v>
      </c>
      <c r="T329" s="153"/>
      <c r="U329" s="154">
        <f t="shared" si="811"/>
        <v>0</v>
      </c>
      <c r="V329" s="155">
        <f t="shared" si="812"/>
        <v>0</v>
      </c>
      <c r="W329" s="156">
        <f t="shared" si="813"/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15</v>
      </c>
      <c r="D330" s="21" t="str">
        <f>Spieltag!B317</f>
        <v>Luca Kilian</v>
      </c>
      <c r="E330" s="151" t="str">
        <f>Spieltag!C317</f>
        <v>Abwehr</v>
      </c>
      <c r="F330" s="152" t="s">
        <v>183</v>
      </c>
      <c r="G330" s="153"/>
      <c r="H330" s="154">
        <f t="shared" si="806"/>
        <v>0</v>
      </c>
      <c r="I330" s="153"/>
      <c r="J330" s="154">
        <f t="shared" si="807"/>
        <v>0</v>
      </c>
      <c r="K330" s="153"/>
      <c r="L330" s="154">
        <f t="shared" si="808"/>
        <v>0</v>
      </c>
      <c r="M330" s="153"/>
      <c r="N330" s="154">
        <f t="shared" si="809"/>
        <v>0</v>
      </c>
      <c r="O330" s="155">
        <f t="shared" si="786"/>
        <v>0</v>
      </c>
      <c r="P330" s="155">
        <f t="shared" si="787"/>
        <v>-5</v>
      </c>
      <c r="Q330" s="155">
        <f t="shared" si="805"/>
        <v>-10</v>
      </c>
      <c r="R330" s="153"/>
      <c r="S330" s="154">
        <f t="shared" si="810"/>
        <v>0</v>
      </c>
      <c r="T330" s="153"/>
      <c r="U330" s="154">
        <f t="shared" si="811"/>
        <v>0</v>
      </c>
      <c r="V330" s="155">
        <f t="shared" si="812"/>
        <v>0</v>
      </c>
      <c r="W330" s="156">
        <f t="shared" si="813"/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17</v>
      </c>
      <c r="D331" s="21" t="str">
        <f>Spieltag!B318</f>
        <v>Leart Paqarada</v>
      </c>
      <c r="E331" s="151" t="str">
        <f>Spieltag!C318</f>
        <v>Abwehr</v>
      </c>
      <c r="F331" s="152" t="s">
        <v>183</v>
      </c>
      <c r="G331" s="153"/>
      <c r="H331" s="154">
        <f t="shared" si="806"/>
        <v>0</v>
      </c>
      <c r="I331" s="153"/>
      <c r="J331" s="154">
        <f t="shared" si="807"/>
        <v>0</v>
      </c>
      <c r="K331" s="153"/>
      <c r="L331" s="154">
        <f t="shared" si="808"/>
        <v>0</v>
      </c>
      <c r="M331" s="153"/>
      <c r="N331" s="154">
        <f t="shared" si="809"/>
        <v>0</v>
      </c>
      <c r="O331" s="155">
        <f t="shared" si="786"/>
        <v>0</v>
      </c>
      <c r="P331" s="155">
        <f t="shared" si="787"/>
        <v>-5</v>
      </c>
      <c r="Q331" s="155">
        <f t="shared" si="805"/>
        <v>-10</v>
      </c>
      <c r="R331" s="153"/>
      <c r="S331" s="154">
        <f t="shared" si="810"/>
        <v>0</v>
      </c>
      <c r="T331" s="153"/>
      <c r="U331" s="154">
        <f t="shared" si="811"/>
        <v>0</v>
      </c>
      <c r="V331" s="155">
        <f t="shared" si="812"/>
        <v>0</v>
      </c>
      <c r="W331" s="156">
        <f t="shared" si="813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18</v>
      </c>
      <c r="D332" s="21" t="str">
        <f>Spieltag!B319</f>
        <v>Rasmus Carstensen (A)</v>
      </c>
      <c r="E332" s="151" t="str">
        <f>Spieltag!C319</f>
        <v>Abwehr</v>
      </c>
      <c r="F332" s="152" t="s">
        <v>183</v>
      </c>
      <c r="G332" s="153"/>
      <c r="H332" s="154">
        <f t="shared" si="806"/>
        <v>0</v>
      </c>
      <c r="I332" s="153"/>
      <c r="J332" s="154">
        <f t="shared" si="807"/>
        <v>0</v>
      </c>
      <c r="K332" s="153"/>
      <c r="L332" s="154">
        <f t="shared" si="808"/>
        <v>0</v>
      </c>
      <c r="M332" s="153"/>
      <c r="N332" s="154">
        <f t="shared" si="809"/>
        <v>0</v>
      </c>
      <c r="O332" s="155">
        <f t="shared" si="786"/>
        <v>0</v>
      </c>
      <c r="P332" s="155">
        <f t="shared" si="787"/>
        <v>-5</v>
      </c>
      <c r="Q332" s="155">
        <f t="shared" si="805"/>
        <v>-10</v>
      </c>
      <c r="R332" s="153"/>
      <c r="S332" s="154">
        <f t="shared" si="810"/>
        <v>0</v>
      </c>
      <c r="T332" s="153"/>
      <c r="U332" s="154">
        <f t="shared" si="811"/>
        <v>0</v>
      </c>
      <c r="V332" s="155">
        <f t="shared" si="812"/>
        <v>0</v>
      </c>
      <c r="W332" s="156">
        <f t="shared" si="813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24</v>
      </c>
      <c r="D333" s="21" t="str">
        <f>Spieltag!B320</f>
        <v>Jeff Chabot</v>
      </c>
      <c r="E333" s="151" t="str">
        <f>Spieltag!C320</f>
        <v>Abwehr</v>
      </c>
      <c r="F333" s="152" t="s">
        <v>183</v>
      </c>
      <c r="G333" s="153"/>
      <c r="H333" s="154">
        <f t="shared" si="806"/>
        <v>0</v>
      </c>
      <c r="I333" s="153"/>
      <c r="J333" s="154">
        <f t="shared" si="807"/>
        <v>0</v>
      </c>
      <c r="K333" s="153"/>
      <c r="L333" s="154">
        <f t="shared" si="808"/>
        <v>0</v>
      </c>
      <c r="M333" s="153"/>
      <c r="N333" s="154">
        <f t="shared" si="809"/>
        <v>0</v>
      </c>
      <c r="O333" s="155">
        <f t="shared" si="786"/>
        <v>0</v>
      </c>
      <c r="P333" s="155">
        <f t="shared" si="787"/>
        <v>-5</v>
      </c>
      <c r="Q333" s="155">
        <f t="shared" si="805"/>
        <v>-10</v>
      </c>
      <c r="R333" s="153"/>
      <c r="S333" s="154">
        <f t="shared" si="810"/>
        <v>0</v>
      </c>
      <c r="T333" s="153"/>
      <c r="U333" s="154">
        <f t="shared" si="811"/>
        <v>0</v>
      </c>
      <c r="V333" s="155">
        <f t="shared" si="812"/>
        <v>0</v>
      </c>
      <c r="W333" s="156">
        <f t="shared" si="813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30</v>
      </c>
      <c r="D334" s="21" t="str">
        <f>Spieltag!B321</f>
        <v>Noah Katterbach</v>
      </c>
      <c r="E334" s="151" t="str">
        <f>Spieltag!C321</f>
        <v>Abwehr</v>
      </c>
      <c r="F334" s="152" t="s">
        <v>183</v>
      </c>
      <c r="G334" s="153"/>
      <c r="H334" s="154">
        <f t="shared" si="806"/>
        <v>0</v>
      </c>
      <c r="I334" s="153"/>
      <c r="J334" s="154">
        <f t="shared" si="807"/>
        <v>0</v>
      </c>
      <c r="K334" s="153"/>
      <c r="L334" s="154">
        <f t="shared" si="808"/>
        <v>0</v>
      </c>
      <c r="M334" s="153"/>
      <c r="N334" s="154">
        <f t="shared" si="809"/>
        <v>0</v>
      </c>
      <c r="O334" s="155">
        <f t="shared" si="786"/>
        <v>0</v>
      </c>
      <c r="P334" s="155">
        <f t="shared" si="787"/>
        <v>-5</v>
      </c>
      <c r="Q334" s="155">
        <f t="shared" si="805"/>
        <v>-10</v>
      </c>
      <c r="R334" s="153"/>
      <c r="S334" s="154">
        <f t="shared" si="810"/>
        <v>0</v>
      </c>
      <c r="T334" s="153"/>
      <c r="U334" s="154">
        <f t="shared" si="811"/>
        <v>0</v>
      </c>
      <c r="V334" s="155">
        <f t="shared" si="812"/>
        <v>0</v>
      </c>
      <c r="W334" s="156">
        <f t="shared" si="813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35</v>
      </c>
      <c r="D335" s="21" t="str">
        <f>Spieltag!B322</f>
        <v>Max Finkgräfe</v>
      </c>
      <c r="E335" s="151" t="str">
        <f>Spieltag!C322</f>
        <v>Abwehr</v>
      </c>
      <c r="F335" s="152" t="s">
        <v>183</v>
      </c>
      <c r="G335" s="153"/>
      <c r="H335" s="154">
        <f t="shared" ref="H335" si="814">IF(G335="x",10,0)</f>
        <v>0</v>
      </c>
      <c r="I335" s="153"/>
      <c r="J335" s="154">
        <f t="shared" ref="J335" si="815">IF((I335="x"),-10,0)</f>
        <v>0</v>
      </c>
      <c r="K335" s="153"/>
      <c r="L335" s="154">
        <f t="shared" ref="L335" si="816">IF((K335="x"),-20,0)</f>
        <v>0</v>
      </c>
      <c r="M335" s="153"/>
      <c r="N335" s="154">
        <f t="shared" ref="N335" si="817">IF((M335="x"),-30,0)</f>
        <v>0</v>
      </c>
      <c r="O335" s="155">
        <f t="shared" si="786"/>
        <v>0</v>
      </c>
      <c r="P335" s="155">
        <f t="shared" si="787"/>
        <v>-5</v>
      </c>
      <c r="Q335" s="155">
        <f t="shared" si="805"/>
        <v>-10</v>
      </c>
      <c r="R335" s="153"/>
      <c r="S335" s="154">
        <f t="shared" ref="S335" si="818">R335*15</f>
        <v>0</v>
      </c>
      <c r="T335" s="153"/>
      <c r="U335" s="154">
        <f t="shared" ref="U335" si="819">T335*-15</f>
        <v>0</v>
      </c>
      <c r="V335" s="155">
        <f t="shared" ref="V335" si="820">IF(AND(R335=2),10,IF(R335=3,30,IF(R335=4,50,IF(R335=5,70,0))))</f>
        <v>0</v>
      </c>
      <c r="W335" s="156">
        <f t="shared" ref="W335" si="821">IF(G335="x",H335+J335+L335+N335+O335+P335+Q335+S335+U335+V335,0)</f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38</v>
      </c>
      <c r="D336" s="21" t="str">
        <f>Spieltag!B323</f>
        <v>Elias Bakatukanda</v>
      </c>
      <c r="E336" s="151" t="str">
        <f>Spieltag!C323</f>
        <v>Abwehr</v>
      </c>
      <c r="F336" s="152" t="s">
        <v>183</v>
      </c>
      <c r="G336" s="153"/>
      <c r="H336" s="154">
        <f t="shared" si="806"/>
        <v>0</v>
      </c>
      <c r="I336" s="153"/>
      <c r="J336" s="154">
        <f t="shared" si="807"/>
        <v>0</v>
      </c>
      <c r="K336" s="153"/>
      <c r="L336" s="154">
        <f t="shared" si="808"/>
        <v>0</v>
      </c>
      <c r="M336" s="153"/>
      <c r="N336" s="154">
        <f t="shared" si="809"/>
        <v>0</v>
      </c>
      <c r="O336" s="155">
        <f t="shared" si="786"/>
        <v>0</v>
      </c>
      <c r="P336" s="155">
        <f t="shared" si="787"/>
        <v>-5</v>
      </c>
      <c r="Q336" s="155">
        <f t="shared" si="805"/>
        <v>-10</v>
      </c>
      <c r="R336" s="153"/>
      <c r="S336" s="154">
        <f t="shared" si="810"/>
        <v>0</v>
      </c>
      <c r="T336" s="153"/>
      <c r="U336" s="154">
        <f t="shared" si="811"/>
        <v>0</v>
      </c>
      <c r="V336" s="155">
        <f t="shared" si="812"/>
        <v>0</v>
      </c>
      <c r="W336" s="156">
        <f t="shared" si="813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6</v>
      </c>
      <c r="D337" s="21" t="str">
        <f>Spieltag!B324</f>
        <v>Eric Martel</v>
      </c>
      <c r="E337" s="151" t="str">
        <f>Spieltag!C324</f>
        <v>Mittelfeld</v>
      </c>
      <c r="F337" s="152" t="s">
        <v>183</v>
      </c>
      <c r="G337" s="153"/>
      <c r="H337" s="154">
        <f>IF(G337="x",10,0)</f>
        <v>0</v>
      </c>
      <c r="I337" s="153"/>
      <c r="J337" s="154">
        <f>IF((I337="x"),-10,0)</f>
        <v>0</v>
      </c>
      <c r="K337" s="153"/>
      <c r="L337" s="154">
        <f>IF((K337="x"),-20,0)</f>
        <v>0</v>
      </c>
      <c r="M337" s="153"/>
      <c r="N337" s="154">
        <f>IF((M337="x"),-30,0)</f>
        <v>0</v>
      </c>
      <c r="O337" s="155">
        <f t="shared" ref="O337:O351" si="822">IF(AND($V$5&gt;$W$5),20,IF($V$5=$W$5,10,0))</f>
        <v>0</v>
      </c>
      <c r="P337" s="155">
        <f t="shared" ref="P337:P351" si="823">IF(($V$5&lt;&gt;0),$V$5*10,-5)</f>
        <v>-5</v>
      </c>
      <c r="Q337" s="155">
        <f t="shared" ref="Q337:Q345" si="824">IF(($W$5&lt;&gt;0),$W$5*-10,10)</f>
        <v>-10</v>
      </c>
      <c r="R337" s="153"/>
      <c r="S337" s="154">
        <f>R337*10</f>
        <v>0</v>
      </c>
      <c r="T337" s="153"/>
      <c r="U337" s="154">
        <f>T337*-15</f>
        <v>0</v>
      </c>
      <c r="V337" s="155">
        <f>IF(AND(R337=2),10,IF(R337=3,30,IF(R337=4,50,IF(R337=5,70,0))))</f>
        <v>0</v>
      </c>
      <c r="W337" s="156">
        <f>IF(G337="x",H337+J337+L337+N337+O337+P337+Q337+S337+U337+V337,0)</f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7</v>
      </c>
      <c r="D338" s="21" t="str">
        <f>Spieltag!B325</f>
        <v>Dejan Ljubicic (A)</v>
      </c>
      <c r="E338" s="151" t="str">
        <f>Spieltag!C325</f>
        <v>Mittelfeld</v>
      </c>
      <c r="F338" s="152" t="s">
        <v>183</v>
      </c>
      <c r="G338" s="153"/>
      <c r="H338" s="154">
        <f t="shared" ref="H338:H344" si="825">IF(G338="x",10,0)</f>
        <v>0</v>
      </c>
      <c r="I338" s="153"/>
      <c r="J338" s="154">
        <f t="shared" ref="J338:J344" si="826">IF((I338="x"),-10,0)</f>
        <v>0</v>
      </c>
      <c r="K338" s="153"/>
      <c r="L338" s="154">
        <f t="shared" ref="L338:L344" si="827">IF((K338="x"),-20,0)</f>
        <v>0</v>
      </c>
      <c r="M338" s="153"/>
      <c r="N338" s="154">
        <f t="shared" ref="N338:N344" si="828">IF((M338="x"),-30,0)</f>
        <v>0</v>
      </c>
      <c r="O338" s="155">
        <f t="shared" si="822"/>
        <v>0</v>
      </c>
      <c r="P338" s="155">
        <f t="shared" si="823"/>
        <v>-5</v>
      </c>
      <c r="Q338" s="155">
        <f t="shared" si="824"/>
        <v>-10</v>
      </c>
      <c r="R338" s="153"/>
      <c r="S338" s="154">
        <f t="shared" ref="S338:S344" si="829">R338*10</f>
        <v>0</v>
      </c>
      <c r="T338" s="153"/>
      <c r="U338" s="154">
        <f t="shared" ref="U338:U344" si="830">T338*-15</f>
        <v>0</v>
      </c>
      <c r="V338" s="155">
        <f t="shared" ref="V338:V344" si="831">IF(AND(R338=2),10,IF(R338=3,30,IF(R338=4,50,IF(R338=5,70,0))))</f>
        <v>0</v>
      </c>
      <c r="W338" s="156">
        <f t="shared" ref="W338:W344" si="832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8</v>
      </c>
      <c r="D339" s="21" t="str">
        <f>Spieltag!B326</f>
        <v>Denis Huseinbasic</v>
      </c>
      <c r="E339" s="151" t="str">
        <f>Spieltag!C326</f>
        <v>Mittelfeld</v>
      </c>
      <c r="F339" s="152" t="s">
        <v>183</v>
      </c>
      <c r="G339" s="153"/>
      <c r="H339" s="154">
        <f t="shared" si="825"/>
        <v>0</v>
      </c>
      <c r="I339" s="153"/>
      <c r="J339" s="154">
        <f t="shared" si="826"/>
        <v>0</v>
      </c>
      <c r="K339" s="153"/>
      <c r="L339" s="154">
        <f t="shared" si="827"/>
        <v>0</v>
      </c>
      <c r="M339" s="153"/>
      <c r="N339" s="154">
        <f t="shared" si="828"/>
        <v>0</v>
      </c>
      <c r="O339" s="155">
        <f t="shared" si="822"/>
        <v>0</v>
      </c>
      <c r="P339" s="155">
        <f t="shared" si="823"/>
        <v>-5</v>
      </c>
      <c r="Q339" s="155">
        <f t="shared" si="824"/>
        <v>-10</v>
      </c>
      <c r="R339" s="153"/>
      <c r="S339" s="154">
        <f t="shared" si="829"/>
        <v>0</v>
      </c>
      <c r="T339" s="153"/>
      <c r="U339" s="154">
        <f t="shared" si="830"/>
        <v>0</v>
      </c>
      <c r="V339" s="155">
        <f t="shared" si="831"/>
        <v>0</v>
      </c>
      <c r="W339" s="156">
        <f t="shared" si="832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11</v>
      </c>
      <c r="D340" s="21" t="str">
        <f>Spieltag!B327</f>
        <v>Florian Kainz (A)</v>
      </c>
      <c r="E340" s="151" t="str">
        <f>Spieltag!C327</f>
        <v>Mittelfeld</v>
      </c>
      <c r="F340" s="152" t="s">
        <v>183</v>
      </c>
      <c r="G340" s="153"/>
      <c r="H340" s="154">
        <f t="shared" si="825"/>
        <v>0</v>
      </c>
      <c r="I340" s="153"/>
      <c r="J340" s="154">
        <f t="shared" si="826"/>
        <v>0</v>
      </c>
      <c r="K340" s="153"/>
      <c r="L340" s="154">
        <f t="shared" si="827"/>
        <v>0</v>
      </c>
      <c r="M340" s="153"/>
      <c r="N340" s="154">
        <f t="shared" si="828"/>
        <v>0</v>
      </c>
      <c r="O340" s="155">
        <f t="shared" si="822"/>
        <v>0</v>
      </c>
      <c r="P340" s="155">
        <f t="shared" si="823"/>
        <v>-5</v>
      </c>
      <c r="Q340" s="155">
        <f t="shared" si="824"/>
        <v>-10</v>
      </c>
      <c r="R340" s="153"/>
      <c r="S340" s="154">
        <f t="shared" si="829"/>
        <v>0</v>
      </c>
      <c r="T340" s="153"/>
      <c r="U340" s="154">
        <f t="shared" si="830"/>
        <v>0</v>
      </c>
      <c r="V340" s="155">
        <f t="shared" si="831"/>
        <v>0</v>
      </c>
      <c r="W340" s="156">
        <f t="shared" si="832"/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19</v>
      </c>
      <c r="D341" s="21" t="str">
        <f>Spieltag!B328</f>
        <v>Dimitrios Limnios (A)</v>
      </c>
      <c r="E341" s="151" t="str">
        <f>Spieltag!C328</f>
        <v>Mittelfeld</v>
      </c>
      <c r="F341" s="152" t="s">
        <v>183</v>
      </c>
      <c r="G341" s="153"/>
      <c r="H341" s="154">
        <f t="shared" si="825"/>
        <v>0</v>
      </c>
      <c r="I341" s="153"/>
      <c r="J341" s="154">
        <f t="shared" si="826"/>
        <v>0</v>
      </c>
      <c r="K341" s="153"/>
      <c r="L341" s="154">
        <f t="shared" si="827"/>
        <v>0</v>
      </c>
      <c r="M341" s="153"/>
      <c r="N341" s="154">
        <f t="shared" si="828"/>
        <v>0</v>
      </c>
      <c r="O341" s="155">
        <f t="shared" si="822"/>
        <v>0</v>
      </c>
      <c r="P341" s="155">
        <f t="shared" si="823"/>
        <v>-5</v>
      </c>
      <c r="Q341" s="155">
        <f t="shared" si="824"/>
        <v>-10</v>
      </c>
      <c r="R341" s="153"/>
      <c r="S341" s="154">
        <f t="shared" si="829"/>
        <v>0</v>
      </c>
      <c r="T341" s="153"/>
      <c r="U341" s="154">
        <f t="shared" si="830"/>
        <v>0</v>
      </c>
      <c r="V341" s="155">
        <f t="shared" si="831"/>
        <v>0</v>
      </c>
      <c r="W341" s="156">
        <f t="shared" si="83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22</v>
      </c>
      <c r="D342" s="21" t="str">
        <f>Spieltag!B329</f>
        <v>Jacob Christensen (A)</v>
      </c>
      <c r="E342" s="151" t="str">
        <f>Spieltag!C329</f>
        <v>Mittelfeld</v>
      </c>
      <c r="F342" s="152" t="s">
        <v>183</v>
      </c>
      <c r="G342" s="153"/>
      <c r="H342" s="154">
        <f t="shared" si="825"/>
        <v>0</v>
      </c>
      <c r="I342" s="153"/>
      <c r="J342" s="154">
        <f t="shared" si="826"/>
        <v>0</v>
      </c>
      <c r="K342" s="153"/>
      <c r="L342" s="154">
        <f t="shared" si="827"/>
        <v>0</v>
      </c>
      <c r="M342" s="153"/>
      <c r="N342" s="154">
        <f t="shared" si="828"/>
        <v>0</v>
      </c>
      <c r="O342" s="155">
        <f t="shared" si="822"/>
        <v>0</v>
      </c>
      <c r="P342" s="155">
        <f t="shared" si="823"/>
        <v>-5</v>
      </c>
      <c r="Q342" s="155">
        <f t="shared" si="824"/>
        <v>-10</v>
      </c>
      <c r="R342" s="153"/>
      <c r="S342" s="154">
        <f t="shared" si="829"/>
        <v>0</v>
      </c>
      <c r="T342" s="153"/>
      <c r="U342" s="154">
        <f t="shared" si="830"/>
        <v>0</v>
      </c>
      <c r="V342" s="155">
        <f t="shared" si="831"/>
        <v>0</v>
      </c>
      <c r="W342" s="156">
        <f t="shared" si="832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29</v>
      </c>
      <c r="D343" s="21" t="str">
        <f>Spieltag!B330</f>
        <v>Jan Thielmann</v>
      </c>
      <c r="E343" s="151" t="str">
        <f>Spieltag!C330</f>
        <v>Mittelfeld</v>
      </c>
      <c r="F343" s="152" t="s">
        <v>183</v>
      </c>
      <c r="G343" s="153"/>
      <c r="H343" s="154">
        <f t="shared" si="825"/>
        <v>0</v>
      </c>
      <c r="I343" s="153"/>
      <c r="J343" s="154">
        <f t="shared" si="826"/>
        <v>0</v>
      </c>
      <c r="K343" s="153"/>
      <c r="L343" s="154">
        <f t="shared" si="827"/>
        <v>0</v>
      </c>
      <c r="M343" s="153"/>
      <c r="N343" s="154">
        <f t="shared" si="828"/>
        <v>0</v>
      </c>
      <c r="O343" s="155">
        <f t="shared" si="822"/>
        <v>0</v>
      </c>
      <c r="P343" s="155">
        <f t="shared" si="823"/>
        <v>-5</v>
      </c>
      <c r="Q343" s="155">
        <f t="shared" si="824"/>
        <v>-10</v>
      </c>
      <c r="R343" s="153"/>
      <c r="S343" s="154">
        <f t="shared" si="829"/>
        <v>0</v>
      </c>
      <c r="T343" s="153"/>
      <c r="U343" s="154">
        <f t="shared" si="830"/>
        <v>0</v>
      </c>
      <c r="V343" s="155">
        <f t="shared" si="831"/>
        <v>0</v>
      </c>
      <c r="W343" s="156">
        <f t="shared" si="832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37</v>
      </c>
      <c r="D344" s="21" t="str">
        <f>Spieltag!B331</f>
        <v>Linton Maina</v>
      </c>
      <c r="E344" s="151" t="str">
        <f>Spieltag!C331</f>
        <v>Mittelfeld</v>
      </c>
      <c r="F344" s="152" t="s">
        <v>183</v>
      </c>
      <c r="G344" s="153"/>
      <c r="H344" s="154">
        <f t="shared" si="825"/>
        <v>0</v>
      </c>
      <c r="I344" s="153"/>
      <c r="J344" s="154">
        <f t="shared" si="826"/>
        <v>0</v>
      </c>
      <c r="K344" s="153"/>
      <c r="L344" s="154">
        <f t="shared" si="827"/>
        <v>0</v>
      </c>
      <c r="M344" s="153"/>
      <c r="N344" s="154">
        <f t="shared" si="828"/>
        <v>0</v>
      </c>
      <c r="O344" s="155">
        <f t="shared" si="822"/>
        <v>0</v>
      </c>
      <c r="P344" s="155">
        <f t="shared" si="823"/>
        <v>-5</v>
      </c>
      <c r="Q344" s="155">
        <f t="shared" si="824"/>
        <v>-10</v>
      </c>
      <c r="R344" s="153"/>
      <c r="S344" s="154">
        <f t="shared" si="829"/>
        <v>0</v>
      </c>
      <c r="T344" s="153"/>
      <c r="U344" s="154">
        <f t="shared" si="830"/>
        <v>0</v>
      </c>
      <c r="V344" s="155">
        <f t="shared" si="831"/>
        <v>0</v>
      </c>
      <c r="W344" s="156">
        <f t="shared" si="832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47</v>
      </c>
      <c r="D345" s="21" t="str">
        <f>Spieltag!B332</f>
        <v>Mathias Olesen (A)</v>
      </c>
      <c r="E345" s="151" t="str">
        <f>Spieltag!C332</f>
        <v>Mittelfeld</v>
      </c>
      <c r="F345" s="152" t="s">
        <v>183</v>
      </c>
      <c r="G345" s="153"/>
      <c r="H345" s="154">
        <f t="shared" ref="H345" si="833">IF(G345="x",10,0)</f>
        <v>0</v>
      </c>
      <c r="I345" s="153"/>
      <c r="J345" s="154">
        <f t="shared" ref="J345" si="834">IF((I345="x"),-10,0)</f>
        <v>0</v>
      </c>
      <c r="K345" s="153"/>
      <c r="L345" s="154">
        <f t="shared" ref="L345" si="835">IF((K345="x"),-20,0)</f>
        <v>0</v>
      </c>
      <c r="M345" s="153"/>
      <c r="N345" s="154">
        <f t="shared" ref="N345" si="836">IF((M345="x"),-30,0)</f>
        <v>0</v>
      </c>
      <c r="O345" s="155">
        <f t="shared" si="822"/>
        <v>0</v>
      </c>
      <c r="P345" s="155">
        <f t="shared" si="823"/>
        <v>-5</v>
      </c>
      <c r="Q345" s="155">
        <f t="shared" si="824"/>
        <v>-10</v>
      </c>
      <c r="R345" s="153"/>
      <c r="S345" s="154">
        <f t="shared" ref="S345" si="837">R345*10</f>
        <v>0</v>
      </c>
      <c r="T345" s="153"/>
      <c r="U345" s="154">
        <f t="shared" ref="U345" si="838">T345*-15</f>
        <v>0</v>
      </c>
      <c r="V345" s="155">
        <f t="shared" ref="V345" si="839">IF(AND(R345=2),10,IF(R345=3,30,IF(R345=4,50,IF(R345=5,70,0))))</f>
        <v>0</v>
      </c>
      <c r="W345" s="156">
        <f t="shared" ref="W345" si="840">IF(G345="x",H345+J345+L345+N345+O345+P345+Q345+S345+U345+V345,0)</f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9</v>
      </c>
      <c r="D346" s="21" t="str">
        <f>Spieltag!B333</f>
        <v>Luca Waldschmidt</v>
      </c>
      <c r="E346" s="151" t="str">
        <f>Spieltag!C333</f>
        <v>Sturm</v>
      </c>
      <c r="F346" s="152" t="s">
        <v>183</v>
      </c>
      <c r="G346" s="153"/>
      <c r="H346" s="154">
        <f>IF(G346="x",10,0)</f>
        <v>0</v>
      </c>
      <c r="I346" s="153"/>
      <c r="J346" s="154">
        <f>IF((I346="x"),-10,0)</f>
        <v>0</v>
      </c>
      <c r="K346" s="153"/>
      <c r="L346" s="154">
        <f>IF((K346="x"),-20,0)</f>
        <v>0</v>
      </c>
      <c r="M346" s="153"/>
      <c r="N346" s="154">
        <f>IF((M346="x"),-30,0)</f>
        <v>0</v>
      </c>
      <c r="O346" s="155">
        <f t="shared" si="822"/>
        <v>0</v>
      </c>
      <c r="P346" s="155">
        <f t="shared" si="823"/>
        <v>-5</v>
      </c>
      <c r="Q346" s="155">
        <f>IF(($W$5&lt;&gt;0),$W$5*-10,5)</f>
        <v>-10</v>
      </c>
      <c r="R346" s="153"/>
      <c r="S346" s="154">
        <f>R346*10</f>
        <v>0</v>
      </c>
      <c r="T346" s="153"/>
      <c r="U346" s="154">
        <f>T346*-15</f>
        <v>0</v>
      </c>
      <c r="V346" s="155">
        <f>IF(AND(R346=2),10,IF(R346=3,30,IF(R346=4,50,IF(R346=5,70,0))))</f>
        <v>0</v>
      </c>
      <c r="W346" s="156">
        <f>IF(G346="x",H346+J346+L346+N346+O346+P346+Q346+S346+U346+V346,0)</f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13</v>
      </c>
      <c r="D347" s="21" t="str">
        <f>Spieltag!B334</f>
        <v>Mark Uth</v>
      </c>
      <c r="E347" s="151" t="str">
        <f>Spieltag!C334</f>
        <v>Sturm</v>
      </c>
      <c r="F347" s="152" t="s">
        <v>183</v>
      </c>
      <c r="G347" s="153"/>
      <c r="H347" s="154">
        <f t="shared" ref="H347:H350" si="841">IF(G347="x",10,0)</f>
        <v>0</v>
      </c>
      <c r="I347" s="153"/>
      <c r="J347" s="154">
        <f t="shared" ref="J347:J350" si="842">IF((I347="x"),-10,0)</f>
        <v>0</v>
      </c>
      <c r="K347" s="153"/>
      <c r="L347" s="154">
        <f t="shared" ref="L347:L350" si="843">IF((K347="x"),-20,0)</f>
        <v>0</v>
      </c>
      <c r="M347" s="153"/>
      <c r="N347" s="154">
        <f t="shared" ref="N347:N350" si="844">IF((M347="x"),-30,0)</f>
        <v>0</v>
      </c>
      <c r="O347" s="155">
        <f t="shared" si="822"/>
        <v>0</v>
      </c>
      <c r="P347" s="155">
        <f t="shared" si="823"/>
        <v>-5</v>
      </c>
      <c r="Q347" s="155">
        <f t="shared" ref="Q347:Q351" si="845">IF(($W$5&lt;&gt;0),$W$5*-10,5)</f>
        <v>-10</v>
      </c>
      <c r="R347" s="153"/>
      <c r="S347" s="154">
        <f t="shared" ref="S347:S350" si="846">R347*10</f>
        <v>0</v>
      </c>
      <c r="T347" s="153"/>
      <c r="U347" s="154">
        <f t="shared" ref="U347:U350" si="847">T347*-15</f>
        <v>0</v>
      </c>
      <c r="V347" s="155">
        <f t="shared" ref="V347:V350" si="848">IF(AND(R347=2),10,IF(R347=3,30,IF(R347=4,50,IF(R347=5,70,0))))</f>
        <v>0</v>
      </c>
      <c r="W347" s="156">
        <f t="shared" ref="W347:W350" si="849">IF(G347="x",H347+J347+L347+N347+O347+P347+Q347+S347+U347+V347,0)</f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21</v>
      </c>
      <c r="D348" s="21" t="str">
        <f>Spieltag!B335</f>
        <v>Steffen Tigges</v>
      </c>
      <c r="E348" s="151" t="str">
        <f>Spieltag!C335</f>
        <v>Sturm</v>
      </c>
      <c r="F348" s="152" t="s">
        <v>183</v>
      </c>
      <c r="G348" s="153"/>
      <c r="H348" s="154">
        <f t="shared" si="841"/>
        <v>0</v>
      </c>
      <c r="I348" s="153"/>
      <c r="J348" s="154">
        <f t="shared" si="842"/>
        <v>0</v>
      </c>
      <c r="K348" s="153"/>
      <c r="L348" s="154">
        <f t="shared" si="843"/>
        <v>0</v>
      </c>
      <c r="M348" s="153"/>
      <c r="N348" s="154">
        <f t="shared" si="844"/>
        <v>0</v>
      </c>
      <c r="O348" s="155">
        <f t="shared" si="822"/>
        <v>0</v>
      </c>
      <c r="P348" s="155">
        <f t="shared" si="823"/>
        <v>-5</v>
      </c>
      <c r="Q348" s="155">
        <f t="shared" si="845"/>
        <v>-10</v>
      </c>
      <c r="R348" s="153"/>
      <c r="S348" s="154">
        <f t="shared" si="846"/>
        <v>0</v>
      </c>
      <c r="T348" s="153"/>
      <c r="U348" s="154">
        <f t="shared" si="847"/>
        <v>0</v>
      </c>
      <c r="V348" s="155">
        <f t="shared" si="848"/>
        <v>0</v>
      </c>
      <c r="W348" s="156">
        <f t="shared" si="849"/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23</v>
      </c>
      <c r="D349" s="21" t="str">
        <f>Spieltag!B336</f>
        <v>Sargis Adamyan (A)</v>
      </c>
      <c r="E349" s="151" t="str">
        <f>Spieltag!C336</f>
        <v>Sturm</v>
      </c>
      <c r="F349" s="152" t="s">
        <v>183</v>
      </c>
      <c r="G349" s="153"/>
      <c r="H349" s="154">
        <f t="shared" si="841"/>
        <v>0</v>
      </c>
      <c r="I349" s="153"/>
      <c r="J349" s="154">
        <f t="shared" si="842"/>
        <v>0</v>
      </c>
      <c r="K349" s="153"/>
      <c r="L349" s="154">
        <f t="shared" si="843"/>
        <v>0</v>
      </c>
      <c r="M349" s="153"/>
      <c r="N349" s="154">
        <f t="shared" si="844"/>
        <v>0</v>
      </c>
      <c r="O349" s="155">
        <f t="shared" si="822"/>
        <v>0</v>
      </c>
      <c r="P349" s="155">
        <f t="shared" si="823"/>
        <v>-5</v>
      </c>
      <c r="Q349" s="155">
        <f t="shared" si="845"/>
        <v>-10</v>
      </c>
      <c r="R349" s="153"/>
      <c r="S349" s="154">
        <f t="shared" si="846"/>
        <v>0</v>
      </c>
      <c r="T349" s="153"/>
      <c r="U349" s="154">
        <f t="shared" si="847"/>
        <v>0</v>
      </c>
      <c r="V349" s="155">
        <f t="shared" si="848"/>
        <v>0</v>
      </c>
      <c r="W349" s="156">
        <f t="shared" si="849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27</v>
      </c>
      <c r="D350" s="21" t="str">
        <f>Spieltag!B337</f>
        <v>Davie Selke</v>
      </c>
      <c r="E350" s="151" t="str">
        <f>Spieltag!C337</f>
        <v>Sturm</v>
      </c>
      <c r="F350" s="152" t="s">
        <v>183</v>
      </c>
      <c r="G350" s="153"/>
      <c r="H350" s="154">
        <f t="shared" si="841"/>
        <v>0</v>
      </c>
      <c r="I350" s="153"/>
      <c r="J350" s="154">
        <f t="shared" si="842"/>
        <v>0</v>
      </c>
      <c r="K350" s="153"/>
      <c r="L350" s="154">
        <f t="shared" si="843"/>
        <v>0</v>
      </c>
      <c r="M350" s="153"/>
      <c r="N350" s="154">
        <f t="shared" si="844"/>
        <v>0</v>
      </c>
      <c r="O350" s="155">
        <f t="shared" si="822"/>
        <v>0</v>
      </c>
      <c r="P350" s="155">
        <f t="shared" si="823"/>
        <v>-5</v>
      </c>
      <c r="Q350" s="155">
        <f t="shared" si="845"/>
        <v>-10</v>
      </c>
      <c r="R350" s="153"/>
      <c r="S350" s="154">
        <f t="shared" si="846"/>
        <v>0</v>
      </c>
      <c r="T350" s="153"/>
      <c r="U350" s="154">
        <f t="shared" si="847"/>
        <v>0</v>
      </c>
      <c r="V350" s="155">
        <f t="shared" si="848"/>
        <v>0</v>
      </c>
      <c r="W350" s="156">
        <f t="shared" si="849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33</v>
      </c>
      <c r="D351" s="21" t="str">
        <f>Spieltag!B338</f>
        <v>Florian Dietz</v>
      </c>
      <c r="E351" s="151" t="str">
        <f>Spieltag!C338</f>
        <v>Sturm</v>
      </c>
      <c r="F351" s="152" t="s">
        <v>183</v>
      </c>
      <c r="G351" s="153"/>
      <c r="H351" s="154">
        <f t="shared" ref="H351" si="850">IF(G351="x",10,0)</f>
        <v>0</v>
      </c>
      <c r="I351" s="153"/>
      <c r="J351" s="154">
        <f t="shared" ref="J351" si="851">IF((I351="x"),-10,0)</f>
        <v>0</v>
      </c>
      <c r="K351" s="153"/>
      <c r="L351" s="154">
        <f t="shared" ref="L351" si="852">IF((K351="x"),-20,0)</f>
        <v>0</v>
      </c>
      <c r="M351" s="153"/>
      <c r="N351" s="154">
        <f t="shared" ref="N351" si="853">IF((M351="x"),-30,0)</f>
        <v>0</v>
      </c>
      <c r="O351" s="155">
        <f t="shared" si="822"/>
        <v>0</v>
      </c>
      <c r="P351" s="155">
        <f t="shared" si="823"/>
        <v>-5</v>
      </c>
      <c r="Q351" s="155">
        <f t="shared" si="845"/>
        <v>-10</v>
      </c>
      <c r="R351" s="153"/>
      <c r="S351" s="154">
        <f t="shared" ref="S351" si="854">R351*10</f>
        <v>0</v>
      </c>
      <c r="T351" s="153"/>
      <c r="U351" s="154">
        <f t="shared" ref="U351" si="855">T351*-15</f>
        <v>0</v>
      </c>
      <c r="V351" s="155">
        <f t="shared" ref="V351" si="856">IF(AND(R351=2),10,IF(R351=3,30,IF(R351=4,50,IF(R351=5,70,0))))</f>
        <v>0</v>
      </c>
      <c r="W351" s="156">
        <f t="shared" ref="W351" si="857">IF(G351="x",H351+J351+L351+N351+O351+P351+Q351+S351+U351+V351,0)</f>
        <v>0</v>
      </c>
    </row>
    <row r="352" spans="1:23" s="144" customFormat="1" ht="17.25" thickBot="1" x14ac:dyDescent="0.25">
      <c r="A352" s="142"/>
      <c r="B352" s="143">
        <f>SUM(B353:B381)</f>
        <v>6</v>
      </c>
      <c r="C352" s="158"/>
      <c r="D352" s="221" t="s">
        <v>119</v>
      </c>
      <c r="E352" s="221"/>
      <c r="F352" s="221"/>
      <c r="G352" s="221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2"/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1</v>
      </c>
      <c r="D353" s="21" t="str">
        <f>Spieltag!B340</f>
        <v>Oliver Baumann</v>
      </c>
      <c r="E353" s="151" t="str">
        <f>Spieltag!C340</f>
        <v>Torwart</v>
      </c>
      <c r="F353" s="152" t="s">
        <v>77</v>
      </c>
      <c r="G353" s="153"/>
      <c r="H353" s="154">
        <f t="shared" ref="H353" si="858">IF(G353="x",10,0)</f>
        <v>0</v>
      </c>
      <c r="I353" s="153"/>
      <c r="J353" s="154">
        <f t="shared" ref="J353" si="859">IF((I353="x"),-10,0)</f>
        <v>0</v>
      </c>
      <c r="K353" s="153"/>
      <c r="L353" s="154">
        <f t="shared" ref="L353" si="860">IF((K353="x"),-20,0)</f>
        <v>0</v>
      </c>
      <c r="M353" s="153"/>
      <c r="N353" s="154">
        <f t="shared" ref="N353" si="861">IF((M353="x"),-30,0)</f>
        <v>0</v>
      </c>
      <c r="O353" s="155">
        <f t="shared" ref="O353:O381" si="862">IF(AND($V$3&gt;$W$3),20,IF($V$3=$W$3,10,0))</f>
        <v>0</v>
      </c>
      <c r="P353" s="155">
        <f t="shared" ref="P353:P381" si="863">IF(($V$3&lt;&gt;0),$V$3*10,-5)</f>
        <v>10</v>
      </c>
      <c r="Q353" s="155">
        <f>IF(($W$3&lt;&gt;0),$W$3*-10,20)</f>
        <v>-20</v>
      </c>
      <c r="R353" s="153"/>
      <c r="S353" s="154">
        <f>R353*20</f>
        <v>0</v>
      </c>
      <c r="T353" s="153"/>
      <c r="U353" s="154">
        <f t="shared" ref="U353" si="864">T353*-15</f>
        <v>0</v>
      </c>
      <c r="V353" s="155">
        <f t="shared" ref="V353" si="865">IF(AND(R353=2),10,IF(R353=3,30,IF(R353=4,50,IF(R353=5,70,0))))</f>
        <v>0</v>
      </c>
      <c r="W353" s="156">
        <f t="shared" ref="W353" si="866">IF(G353="x",H353+J353+L353+N353+O353+P353+Q353+S353+U353+V353,0)</f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36</v>
      </c>
      <c r="D354" s="21" t="str">
        <f>Spieltag!B341</f>
        <v>Nahuell Noll</v>
      </c>
      <c r="E354" s="151" t="str">
        <f>Spieltag!C341</f>
        <v>Torwart</v>
      </c>
      <c r="F354" s="152" t="s">
        <v>77</v>
      </c>
      <c r="G354" s="153"/>
      <c r="H354" s="154">
        <f t="shared" ref="H354:H355" si="867">IF(G354="x",10,0)</f>
        <v>0</v>
      </c>
      <c r="I354" s="153"/>
      <c r="J354" s="154">
        <f t="shared" ref="J354:J355" si="868">IF((I354="x"),-10,0)</f>
        <v>0</v>
      </c>
      <c r="K354" s="153"/>
      <c r="L354" s="154">
        <f t="shared" ref="L354:L355" si="869">IF((K354="x"),-20,0)</f>
        <v>0</v>
      </c>
      <c r="M354" s="153"/>
      <c r="N354" s="154">
        <f t="shared" ref="N354:N355" si="870">IF((M354="x"),-30,0)</f>
        <v>0</v>
      </c>
      <c r="O354" s="155">
        <f t="shared" si="862"/>
        <v>0</v>
      </c>
      <c r="P354" s="155">
        <f t="shared" si="863"/>
        <v>10</v>
      </c>
      <c r="Q354" s="155">
        <f t="shared" ref="Q354:Q355" si="871">IF(($W$3&lt;&gt;0),$W$3*-10,20)</f>
        <v>-20</v>
      </c>
      <c r="R354" s="153"/>
      <c r="S354" s="154">
        <f t="shared" ref="S354:S355" si="872">R354*20</f>
        <v>0</v>
      </c>
      <c r="T354" s="153"/>
      <c r="U354" s="154">
        <f t="shared" ref="U354:U355" si="873">T354*-15</f>
        <v>0</v>
      </c>
      <c r="V354" s="155">
        <f t="shared" ref="V354:V355" si="874">IF(AND(R354=2),10,IF(R354=3,30,IF(R354=4,50,IF(R354=5,70,0))))</f>
        <v>0</v>
      </c>
      <c r="W354" s="156">
        <f t="shared" ref="W354:W355" si="875">IF(G354="x",H354+J354+L354+N354+O354+P354+Q354+S354+U354+V354,0)</f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37</v>
      </c>
      <c r="D355" s="21" t="str">
        <f>Spieltag!B342</f>
        <v>Luca Philipp</v>
      </c>
      <c r="E355" s="151" t="str">
        <f>Spieltag!C342</f>
        <v>Torwart</v>
      </c>
      <c r="F355" s="152" t="s">
        <v>77</v>
      </c>
      <c r="G355" s="153"/>
      <c r="H355" s="154">
        <f t="shared" si="867"/>
        <v>0</v>
      </c>
      <c r="I355" s="153"/>
      <c r="J355" s="154">
        <f t="shared" si="868"/>
        <v>0</v>
      </c>
      <c r="K355" s="153"/>
      <c r="L355" s="154">
        <f t="shared" si="869"/>
        <v>0</v>
      </c>
      <c r="M355" s="153"/>
      <c r="N355" s="154">
        <f t="shared" si="870"/>
        <v>0</v>
      </c>
      <c r="O355" s="155">
        <f t="shared" si="862"/>
        <v>0</v>
      </c>
      <c r="P355" s="155">
        <f t="shared" si="863"/>
        <v>10</v>
      </c>
      <c r="Q355" s="155">
        <f t="shared" si="871"/>
        <v>-20</v>
      </c>
      <c r="R355" s="153"/>
      <c r="S355" s="154">
        <f t="shared" si="872"/>
        <v>0</v>
      </c>
      <c r="T355" s="153"/>
      <c r="U355" s="154">
        <f t="shared" si="873"/>
        <v>0</v>
      </c>
      <c r="V355" s="155">
        <f t="shared" si="874"/>
        <v>0</v>
      </c>
      <c r="W355" s="156">
        <f t="shared" si="875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</v>
      </c>
      <c r="D356" s="21" t="str">
        <f>Spieltag!B343</f>
        <v>Pavel Kaderábek (A)</v>
      </c>
      <c r="E356" s="151" t="str">
        <f>Spieltag!C343</f>
        <v>Abwehr</v>
      </c>
      <c r="F356" s="152" t="s">
        <v>77</v>
      </c>
      <c r="G356" s="153"/>
      <c r="H356" s="154">
        <f t="shared" ref="H356" si="876">IF(G356="x",10,0)</f>
        <v>0</v>
      </c>
      <c r="I356" s="153"/>
      <c r="J356" s="154">
        <f t="shared" ref="J356" si="877">IF((I356="x"),-10,0)</f>
        <v>0</v>
      </c>
      <c r="K356" s="153"/>
      <c r="L356" s="154">
        <f t="shared" ref="L356" si="878">IF((K356="x"),-20,0)</f>
        <v>0</v>
      </c>
      <c r="M356" s="153"/>
      <c r="N356" s="154">
        <f t="shared" ref="N356" si="879">IF((M356="x"),-30,0)</f>
        <v>0</v>
      </c>
      <c r="O356" s="155">
        <f t="shared" si="862"/>
        <v>0</v>
      </c>
      <c r="P356" s="155">
        <f t="shared" si="863"/>
        <v>10</v>
      </c>
      <c r="Q356" s="155">
        <f t="shared" ref="Q356:Q363" si="880">IF(($W$3&lt;&gt;0),$W$3*-10,15)</f>
        <v>-20</v>
      </c>
      <c r="R356" s="153"/>
      <c r="S356" s="154">
        <f t="shared" ref="S356" si="881">R356*15</f>
        <v>0</v>
      </c>
      <c r="T356" s="153"/>
      <c r="U356" s="154">
        <f t="shared" ref="U356" si="882">T356*-15</f>
        <v>0</v>
      </c>
      <c r="V356" s="155">
        <f t="shared" ref="V356" si="883">IF(AND(R356=2),10,IF(R356=3,30,IF(R356=4,50,IF(R356=5,70,0))))</f>
        <v>0</v>
      </c>
      <c r="W356" s="156">
        <f t="shared" ref="W356" si="884">IF(G356="x",H356+J356+L356+N356+O356+P356+Q356+S356+U356+V356,0)</f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5</v>
      </c>
      <c r="D357" s="21" t="str">
        <f>Spieltag!B344</f>
        <v>Ozan Kabak (A)</v>
      </c>
      <c r="E357" s="151" t="str">
        <f>Spieltag!C344</f>
        <v>Abwehr</v>
      </c>
      <c r="F357" s="152" t="s">
        <v>77</v>
      </c>
      <c r="G357" s="153"/>
      <c r="H357" s="154">
        <f t="shared" ref="H357:H363" si="885">IF(G357="x",10,0)</f>
        <v>0</v>
      </c>
      <c r="I357" s="153"/>
      <c r="J357" s="154">
        <f t="shared" ref="J357:J363" si="886">IF((I357="x"),-10,0)</f>
        <v>0</v>
      </c>
      <c r="K357" s="153"/>
      <c r="L357" s="154">
        <f t="shared" ref="L357:L363" si="887">IF((K357="x"),-20,0)</f>
        <v>0</v>
      </c>
      <c r="M357" s="153"/>
      <c r="N357" s="154">
        <f t="shared" ref="N357:N363" si="888">IF((M357="x"),-30,0)</f>
        <v>0</v>
      </c>
      <c r="O357" s="155">
        <f t="shared" si="862"/>
        <v>0</v>
      </c>
      <c r="P357" s="155">
        <f t="shared" si="863"/>
        <v>10</v>
      </c>
      <c r="Q357" s="155">
        <f t="shared" si="880"/>
        <v>-20</v>
      </c>
      <c r="R357" s="153"/>
      <c r="S357" s="154">
        <f t="shared" ref="S357:S363" si="889">R357*15</f>
        <v>0</v>
      </c>
      <c r="T357" s="153"/>
      <c r="U357" s="154">
        <f t="shared" ref="U357:U363" si="890">T357*-15</f>
        <v>0</v>
      </c>
      <c r="V357" s="155">
        <f t="shared" ref="V357:V363" si="891">IF(AND(R357=2),10,IF(R357=3,30,IF(R357=4,50,IF(R357=5,70,0))))</f>
        <v>0</v>
      </c>
      <c r="W357" s="156">
        <f t="shared" ref="W357:W363" si="892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15</v>
      </c>
      <c r="D358" s="21" t="str">
        <f>Spieltag!B345</f>
        <v>Kasim Adams (A)</v>
      </c>
      <c r="E358" s="151" t="str">
        <f>Spieltag!C345</f>
        <v>Abwehr</v>
      </c>
      <c r="F358" s="152" t="s">
        <v>77</v>
      </c>
      <c r="G358" s="153"/>
      <c r="H358" s="154">
        <f t="shared" si="885"/>
        <v>0</v>
      </c>
      <c r="I358" s="153"/>
      <c r="J358" s="154">
        <f t="shared" si="886"/>
        <v>0</v>
      </c>
      <c r="K358" s="153"/>
      <c r="L358" s="154">
        <f t="shared" si="887"/>
        <v>0</v>
      </c>
      <c r="M358" s="153"/>
      <c r="N358" s="154">
        <f t="shared" si="888"/>
        <v>0</v>
      </c>
      <c r="O358" s="155">
        <f t="shared" si="862"/>
        <v>0</v>
      </c>
      <c r="P358" s="155">
        <f t="shared" si="863"/>
        <v>10</v>
      </c>
      <c r="Q358" s="155">
        <f t="shared" si="880"/>
        <v>-20</v>
      </c>
      <c r="R358" s="153"/>
      <c r="S358" s="154">
        <f t="shared" si="889"/>
        <v>0</v>
      </c>
      <c r="T358" s="153"/>
      <c r="U358" s="154">
        <f t="shared" si="890"/>
        <v>0</v>
      </c>
      <c r="V358" s="155">
        <f t="shared" si="891"/>
        <v>0</v>
      </c>
      <c r="W358" s="156">
        <f t="shared" si="892"/>
        <v>0</v>
      </c>
    </row>
    <row r="359" spans="1:23" ht="10.5" customHeight="1" x14ac:dyDescent="0.2">
      <c r="A359" s="11"/>
      <c r="B359" s="150">
        <f>COUNTA(Spieltag!K346:AA346)</f>
        <v>2</v>
      </c>
      <c r="C359" s="166">
        <f>Spieltag!A346</f>
        <v>22</v>
      </c>
      <c r="D359" s="21" t="str">
        <f>Spieltag!B346</f>
        <v>Kevin Vogt</v>
      </c>
      <c r="E359" s="151" t="str">
        <f>Spieltag!C346</f>
        <v>Abwehr</v>
      </c>
      <c r="F359" s="152" t="s">
        <v>77</v>
      </c>
      <c r="G359" s="153" t="s">
        <v>676</v>
      </c>
      <c r="H359" s="154">
        <f t="shared" si="885"/>
        <v>10</v>
      </c>
      <c r="I359" s="153"/>
      <c r="J359" s="154">
        <f t="shared" si="886"/>
        <v>0</v>
      </c>
      <c r="K359" s="153"/>
      <c r="L359" s="154">
        <f t="shared" si="887"/>
        <v>0</v>
      </c>
      <c r="M359" s="153"/>
      <c r="N359" s="154">
        <f t="shared" si="888"/>
        <v>0</v>
      </c>
      <c r="O359" s="155">
        <f t="shared" si="862"/>
        <v>0</v>
      </c>
      <c r="P359" s="155">
        <f t="shared" si="863"/>
        <v>10</v>
      </c>
      <c r="Q359" s="155">
        <f t="shared" si="880"/>
        <v>-20</v>
      </c>
      <c r="R359" s="153"/>
      <c r="S359" s="154">
        <f t="shared" si="889"/>
        <v>0</v>
      </c>
      <c r="T359" s="153"/>
      <c r="U359" s="154">
        <f t="shared" si="890"/>
        <v>0</v>
      </c>
      <c r="V359" s="155">
        <f t="shared" si="891"/>
        <v>0</v>
      </c>
      <c r="W359" s="156">
        <f t="shared" si="892"/>
        <v>0</v>
      </c>
    </row>
    <row r="360" spans="1:23" ht="10.5" customHeight="1" x14ac:dyDescent="0.2">
      <c r="A360" s="11"/>
      <c r="B360" s="150">
        <f>COUNTA(Spieltag!K347:AA347)</f>
        <v>1</v>
      </c>
      <c r="C360" s="166">
        <f>Spieltag!A347</f>
        <v>23</v>
      </c>
      <c r="D360" s="21" t="str">
        <f>Spieltag!B347</f>
        <v>John Anthony Brooks</v>
      </c>
      <c r="E360" s="151" t="str">
        <f>Spieltag!C347</f>
        <v>Abwehr</v>
      </c>
      <c r="F360" s="152" t="s">
        <v>77</v>
      </c>
      <c r="G360" s="153" t="s">
        <v>676</v>
      </c>
      <c r="H360" s="154">
        <f t="shared" si="885"/>
        <v>10</v>
      </c>
      <c r="I360" s="153"/>
      <c r="J360" s="154">
        <f t="shared" si="886"/>
        <v>0</v>
      </c>
      <c r="K360" s="153"/>
      <c r="L360" s="154">
        <f t="shared" si="887"/>
        <v>0</v>
      </c>
      <c r="M360" s="153"/>
      <c r="N360" s="154">
        <f t="shared" si="888"/>
        <v>0</v>
      </c>
      <c r="O360" s="155">
        <f t="shared" si="862"/>
        <v>0</v>
      </c>
      <c r="P360" s="155">
        <f t="shared" si="863"/>
        <v>10</v>
      </c>
      <c r="Q360" s="155">
        <f t="shared" si="880"/>
        <v>-20</v>
      </c>
      <c r="R360" s="153"/>
      <c r="S360" s="154">
        <f t="shared" si="889"/>
        <v>0</v>
      </c>
      <c r="T360" s="153"/>
      <c r="U360" s="154">
        <f t="shared" si="890"/>
        <v>0</v>
      </c>
      <c r="V360" s="155">
        <f t="shared" si="891"/>
        <v>0</v>
      </c>
      <c r="W360" s="156">
        <f t="shared" si="892"/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25</v>
      </c>
      <c r="D361" s="21" t="str">
        <f>Spieltag!B348</f>
        <v>Kevin Akpoguma</v>
      </c>
      <c r="E361" s="151" t="str">
        <f>Spieltag!C348</f>
        <v>Abwehr</v>
      </c>
      <c r="F361" s="152" t="s">
        <v>77</v>
      </c>
      <c r="G361" s="153"/>
      <c r="H361" s="154">
        <f t="shared" si="885"/>
        <v>0</v>
      </c>
      <c r="I361" s="153"/>
      <c r="J361" s="154">
        <f t="shared" si="886"/>
        <v>0</v>
      </c>
      <c r="K361" s="153"/>
      <c r="L361" s="154">
        <f t="shared" si="887"/>
        <v>0</v>
      </c>
      <c r="M361" s="153"/>
      <c r="N361" s="154">
        <f t="shared" si="888"/>
        <v>0</v>
      </c>
      <c r="O361" s="155">
        <f t="shared" si="862"/>
        <v>0</v>
      </c>
      <c r="P361" s="155">
        <f t="shared" si="863"/>
        <v>10</v>
      </c>
      <c r="Q361" s="155">
        <f t="shared" si="880"/>
        <v>-20</v>
      </c>
      <c r="R361" s="153"/>
      <c r="S361" s="154">
        <f t="shared" si="889"/>
        <v>0</v>
      </c>
      <c r="T361" s="153"/>
      <c r="U361" s="154">
        <f t="shared" si="890"/>
        <v>0</v>
      </c>
      <c r="V361" s="155">
        <f t="shared" si="891"/>
        <v>0</v>
      </c>
      <c r="W361" s="156">
        <f t="shared" si="892"/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34</v>
      </c>
      <c r="D362" s="21" t="str">
        <f>Spieltag!B349</f>
        <v>Stanley Nsoki (A)</v>
      </c>
      <c r="E362" s="151" t="str">
        <f>Spieltag!C349</f>
        <v>Abwehr</v>
      </c>
      <c r="F362" s="152" t="s">
        <v>77</v>
      </c>
      <c r="G362" s="153"/>
      <c r="H362" s="154">
        <f t="shared" si="885"/>
        <v>0</v>
      </c>
      <c r="I362" s="153"/>
      <c r="J362" s="154">
        <f t="shared" si="886"/>
        <v>0</v>
      </c>
      <c r="K362" s="153"/>
      <c r="L362" s="154">
        <f t="shared" si="887"/>
        <v>0</v>
      </c>
      <c r="M362" s="153"/>
      <c r="N362" s="154">
        <f t="shared" si="888"/>
        <v>0</v>
      </c>
      <c r="O362" s="155">
        <f t="shared" si="862"/>
        <v>0</v>
      </c>
      <c r="P362" s="155">
        <f t="shared" si="863"/>
        <v>10</v>
      </c>
      <c r="Q362" s="155">
        <f t="shared" si="880"/>
        <v>-20</v>
      </c>
      <c r="R362" s="153"/>
      <c r="S362" s="154">
        <f t="shared" si="889"/>
        <v>0</v>
      </c>
      <c r="T362" s="153"/>
      <c r="U362" s="154">
        <f t="shared" si="890"/>
        <v>0</v>
      </c>
      <c r="V362" s="155">
        <f t="shared" si="891"/>
        <v>0</v>
      </c>
      <c r="W362" s="156">
        <f t="shared" si="892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41</v>
      </c>
      <c r="D363" s="21" t="str">
        <f>Spieltag!B350</f>
        <v>Attila Szalai (A)</v>
      </c>
      <c r="E363" s="151" t="str">
        <f>Spieltag!C350</f>
        <v>Abwehr</v>
      </c>
      <c r="F363" s="152" t="s">
        <v>77</v>
      </c>
      <c r="G363" s="153"/>
      <c r="H363" s="154">
        <f t="shared" si="885"/>
        <v>0</v>
      </c>
      <c r="I363" s="153"/>
      <c r="J363" s="154">
        <f t="shared" si="886"/>
        <v>0</v>
      </c>
      <c r="K363" s="153"/>
      <c r="L363" s="154">
        <f t="shared" si="887"/>
        <v>0</v>
      </c>
      <c r="M363" s="153"/>
      <c r="N363" s="154">
        <f t="shared" si="888"/>
        <v>0</v>
      </c>
      <c r="O363" s="155">
        <f t="shared" si="862"/>
        <v>0</v>
      </c>
      <c r="P363" s="155">
        <f t="shared" si="863"/>
        <v>10</v>
      </c>
      <c r="Q363" s="155">
        <f t="shared" si="880"/>
        <v>-20</v>
      </c>
      <c r="R363" s="153"/>
      <c r="S363" s="154">
        <f t="shared" si="889"/>
        <v>0</v>
      </c>
      <c r="T363" s="153"/>
      <c r="U363" s="154">
        <f t="shared" si="890"/>
        <v>0</v>
      </c>
      <c r="V363" s="155">
        <f t="shared" si="891"/>
        <v>0</v>
      </c>
      <c r="W363" s="156">
        <f t="shared" si="892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6</v>
      </c>
      <c r="D364" s="21" t="str">
        <f>Spieltag!B351</f>
        <v>Grischa Prömel</v>
      </c>
      <c r="E364" s="151" t="str">
        <f>Spieltag!C351</f>
        <v>Mittelfeld</v>
      </c>
      <c r="F364" s="152" t="s">
        <v>77</v>
      </c>
      <c r="G364" s="153"/>
      <c r="H364" s="154">
        <f>IF(G364="x",10,0)</f>
        <v>0</v>
      </c>
      <c r="I364" s="153"/>
      <c r="J364" s="154">
        <f>IF((I364="x"),-10,0)</f>
        <v>0</v>
      </c>
      <c r="K364" s="153"/>
      <c r="L364" s="154">
        <f>IF((K364="x"),-20,0)</f>
        <v>0</v>
      </c>
      <c r="M364" s="153"/>
      <c r="N364" s="154">
        <f>IF((M364="x"),-30,0)</f>
        <v>0</v>
      </c>
      <c r="O364" s="155">
        <f t="shared" si="862"/>
        <v>0</v>
      </c>
      <c r="P364" s="155">
        <f t="shared" si="863"/>
        <v>10</v>
      </c>
      <c r="Q364" s="155">
        <f t="shared" ref="Q364:Q374" si="893">IF(($W$3&lt;&gt;0),$W$3*-10,10)</f>
        <v>-20</v>
      </c>
      <c r="R364" s="153"/>
      <c r="S364" s="154">
        <f>R364*10</f>
        <v>0</v>
      </c>
      <c r="T364" s="153"/>
      <c r="U364" s="154">
        <f>T364*-15</f>
        <v>0</v>
      </c>
      <c r="V364" s="155">
        <f>IF(AND(R364=2),10,IF(R364=3,30,IF(R364=4,50,IF(R364=5,70,0))))</f>
        <v>0</v>
      </c>
      <c r="W364" s="156">
        <f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8</v>
      </c>
      <c r="D365" s="21" t="str">
        <f>Spieltag!B352</f>
        <v>Dennis Geiger</v>
      </c>
      <c r="E365" s="151" t="str">
        <f>Spieltag!C352</f>
        <v>Mittelfeld</v>
      </c>
      <c r="F365" s="152" t="s">
        <v>77</v>
      </c>
      <c r="G365" s="153"/>
      <c r="H365" s="154">
        <f t="shared" ref="H365:H374" si="894">IF(G365="x",10,0)</f>
        <v>0</v>
      </c>
      <c r="I365" s="153"/>
      <c r="J365" s="154">
        <f t="shared" ref="J365:J374" si="895">IF((I365="x"),-10,0)</f>
        <v>0</v>
      </c>
      <c r="K365" s="153"/>
      <c r="L365" s="154">
        <f t="shared" ref="L365:L374" si="896">IF((K365="x"),-20,0)</f>
        <v>0</v>
      </c>
      <c r="M365" s="153"/>
      <c r="N365" s="154">
        <f t="shared" ref="N365:N374" si="897">IF((M365="x"),-30,0)</f>
        <v>0</v>
      </c>
      <c r="O365" s="155">
        <f t="shared" si="862"/>
        <v>0</v>
      </c>
      <c r="P365" s="155">
        <f t="shared" si="863"/>
        <v>10</v>
      </c>
      <c r="Q365" s="155">
        <f t="shared" si="893"/>
        <v>-20</v>
      </c>
      <c r="R365" s="153"/>
      <c r="S365" s="154">
        <f t="shared" ref="S365:S374" si="898">R365*10</f>
        <v>0</v>
      </c>
      <c r="T365" s="153"/>
      <c r="U365" s="154">
        <f t="shared" ref="U365:U374" si="899">T365*-15</f>
        <v>0</v>
      </c>
      <c r="V365" s="155">
        <f t="shared" ref="V365:V373" si="900">IF(AND(R365=2),10,IF(R365=3,30,IF(R365=4,50,IF(R365=5,70,0))))</f>
        <v>0</v>
      </c>
      <c r="W365" s="156">
        <f t="shared" ref="W365:W373" si="901">IF(G365="x",H365+J365+L365+N365+O365+P365+Q365+S365+U365+V365,0)</f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11</v>
      </c>
      <c r="D366" s="21" t="str">
        <f>Spieltag!B353</f>
        <v>Florian Grillitsch (A)</v>
      </c>
      <c r="E366" s="151" t="str">
        <f>Spieltag!C353</f>
        <v>Mittelfeld</v>
      </c>
      <c r="F366" s="152" t="s">
        <v>77</v>
      </c>
      <c r="G366" s="153"/>
      <c r="H366" s="154">
        <f t="shared" si="894"/>
        <v>0</v>
      </c>
      <c r="I366" s="153"/>
      <c r="J366" s="154">
        <f t="shared" si="895"/>
        <v>0</v>
      </c>
      <c r="K366" s="153"/>
      <c r="L366" s="154">
        <f t="shared" si="896"/>
        <v>0</v>
      </c>
      <c r="M366" s="153"/>
      <c r="N366" s="154">
        <f t="shared" si="897"/>
        <v>0</v>
      </c>
      <c r="O366" s="155">
        <f t="shared" si="862"/>
        <v>0</v>
      </c>
      <c r="P366" s="155">
        <f t="shared" si="863"/>
        <v>10</v>
      </c>
      <c r="Q366" s="155">
        <f t="shared" si="893"/>
        <v>-20</v>
      </c>
      <c r="R366" s="153"/>
      <c r="S366" s="154">
        <f t="shared" si="898"/>
        <v>0</v>
      </c>
      <c r="T366" s="153"/>
      <c r="U366" s="154">
        <f t="shared" si="899"/>
        <v>0</v>
      </c>
      <c r="V366" s="155">
        <f t="shared" si="900"/>
        <v>0</v>
      </c>
      <c r="W366" s="156">
        <f t="shared" si="901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13</v>
      </c>
      <c r="D367" s="21" t="str">
        <f>Spieltag!B354</f>
        <v>Angelo Stiller</v>
      </c>
      <c r="E367" s="151" t="str">
        <f>Spieltag!C354</f>
        <v>Mittelfeld</v>
      </c>
      <c r="F367" s="152" t="s">
        <v>77</v>
      </c>
      <c r="G367" s="153"/>
      <c r="H367" s="154">
        <f t="shared" si="894"/>
        <v>0</v>
      </c>
      <c r="I367" s="153"/>
      <c r="J367" s="154">
        <f t="shared" si="895"/>
        <v>0</v>
      </c>
      <c r="K367" s="153"/>
      <c r="L367" s="154">
        <f t="shared" si="896"/>
        <v>0</v>
      </c>
      <c r="M367" s="153"/>
      <c r="N367" s="154">
        <f t="shared" si="897"/>
        <v>0</v>
      </c>
      <c r="O367" s="155">
        <f t="shared" si="862"/>
        <v>0</v>
      </c>
      <c r="P367" s="155">
        <f t="shared" si="863"/>
        <v>10</v>
      </c>
      <c r="Q367" s="155">
        <f t="shared" si="893"/>
        <v>-20</v>
      </c>
      <c r="R367" s="153"/>
      <c r="S367" s="154">
        <f t="shared" si="898"/>
        <v>0</v>
      </c>
      <c r="T367" s="153"/>
      <c r="U367" s="154">
        <f t="shared" si="899"/>
        <v>0</v>
      </c>
      <c r="V367" s="155">
        <f t="shared" si="900"/>
        <v>0</v>
      </c>
      <c r="W367" s="156">
        <f t="shared" si="901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17</v>
      </c>
      <c r="D368" s="21" t="str">
        <f>Spieltag!B355</f>
        <v>Julian Justvan</v>
      </c>
      <c r="E368" s="151" t="str">
        <f>Spieltag!C355</f>
        <v>Mittelfeld</v>
      </c>
      <c r="F368" s="152" t="s">
        <v>77</v>
      </c>
      <c r="G368" s="153"/>
      <c r="H368" s="154">
        <f t="shared" si="894"/>
        <v>0</v>
      </c>
      <c r="I368" s="153"/>
      <c r="J368" s="154">
        <f t="shared" si="895"/>
        <v>0</v>
      </c>
      <c r="K368" s="153"/>
      <c r="L368" s="154">
        <f t="shared" si="896"/>
        <v>0</v>
      </c>
      <c r="M368" s="153"/>
      <c r="N368" s="154">
        <f t="shared" si="897"/>
        <v>0</v>
      </c>
      <c r="O368" s="155">
        <f t="shared" si="862"/>
        <v>0</v>
      </c>
      <c r="P368" s="155">
        <f t="shared" si="863"/>
        <v>10</v>
      </c>
      <c r="Q368" s="155">
        <f t="shared" si="893"/>
        <v>-20</v>
      </c>
      <c r="R368" s="153"/>
      <c r="S368" s="154">
        <f t="shared" si="898"/>
        <v>0</v>
      </c>
      <c r="T368" s="153"/>
      <c r="U368" s="154">
        <f t="shared" si="899"/>
        <v>0</v>
      </c>
      <c r="V368" s="155">
        <f t="shared" si="900"/>
        <v>0</v>
      </c>
      <c r="W368" s="156">
        <f t="shared" si="901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18</v>
      </c>
      <c r="D369" s="21" t="str">
        <f>Spieltag!B356</f>
        <v>Diadie Samassekou (A)</v>
      </c>
      <c r="E369" s="151" t="str">
        <f>Spieltag!C356</f>
        <v>Mittelfeld</v>
      </c>
      <c r="F369" s="152" t="s">
        <v>77</v>
      </c>
      <c r="G369" s="153"/>
      <c r="H369" s="154">
        <f t="shared" si="894"/>
        <v>0</v>
      </c>
      <c r="I369" s="153"/>
      <c r="J369" s="154">
        <f t="shared" si="895"/>
        <v>0</v>
      </c>
      <c r="K369" s="153"/>
      <c r="L369" s="154">
        <f t="shared" si="896"/>
        <v>0</v>
      </c>
      <c r="M369" s="153"/>
      <c r="N369" s="154">
        <f t="shared" si="897"/>
        <v>0</v>
      </c>
      <c r="O369" s="155">
        <f t="shared" si="862"/>
        <v>0</v>
      </c>
      <c r="P369" s="155">
        <f t="shared" si="863"/>
        <v>10</v>
      </c>
      <c r="Q369" s="155">
        <f t="shared" si="893"/>
        <v>-20</v>
      </c>
      <c r="R369" s="153"/>
      <c r="S369" s="154">
        <f t="shared" si="898"/>
        <v>0</v>
      </c>
      <c r="T369" s="153"/>
      <c r="U369" s="154">
        <f t="shared" si="899"/>
        <v>0</v>
      </c>
      <c r="V369" s="155">
        <f t="shared" si="900"/>
        <v>0</v>
      </c>
      <c r="W369" s="156">
        <f t="shared" si="901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20</v>
      </c>
      <c r="D370" s="21" t="str">
        <f>Spieltag!B357</f>
        <v>Finn Ole Becker</v>
      </c>
      <c r="E370" s="151" t="str">
        <f>Spieltag!C357</f>
        <v>Mittelfeld</v>
      </c>
      <c r="F370" s="152" t="s">
        <v>77</v>
      </c>
      <c r="G370" s="153"/>
      <c r="H370" s="154">
        <f t="shared" si="894"/>
        <v>0</v>
      </c>
      <c r="I370" s="153"/>
      <c r="J370" s="154">
        <f t="shared" si="895"/>
        <v>0</v>
      </c>
      <c r="K370" s="153"/>
      <c r="L370" s="154">
        <f t="shared" si="896"/>
        <v>0</v>
      </c>
      <c r="M370" s="153"/>
      <c r="N370" s="154">
        <f t="shared" si="897"/>
        <v>0</v>
      </c>
      <c r="O370" s="155">
        <f t="shared" si="862"/>
        <v>0</v>
      </c>
      <c r="P370" s="155">
        <f t="shared" si="863"/>
        <v>10</v>
      </c>
      <c r="Q370" s="155">
        <f t="shared" si="893"/>
        <v>-20</v>
      </c>
      <c r="R370" s="153"/>
      <c r="S370" s="154">
        <f t="shared" si="898"/>
        <v>0</v>
      </c>
      <c r="T370" s="153"/>
      <c r="U370" s="154">
        <f t="shared" si="899"/>
        <v>0</v>
      </c>
      <c r="V370" s="155">
        <f t="shared" si="900"/>
        <v>0</v>
      </c>
      <c r="W370" s="156">
        <f t="shared" si="901"/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24</v>
      </c>
      <c r="D371" s="21" t="str">
        <f>Spieltag!B358</f>
        <v>Marco John</v>
      </c>
      <c r="E371" s="151" t="str">
        <f>Spieltag!C358</f>
        <v>Mittelfeld</v>
      </c>
      <c r="F371" s="152" t="s">
        <v>77</v>
      </c>
      <c r="G371" s="153"/>
      <c r="H371" s="154">
        <f t="shared" si="894"/>
        <v>0</v>
      </c>
      <c r="I371" s="153"/>
      <c r="J371" s="154">
        <f t="shared" si="895"/>
        <v>0</v>
      </c>
      <c r="K371" s="153"/>
      <c r="L371" s="154">
        <f t="shared" si="896"/>
        <v>0</v>
      </c>
      <c r="M371" s="153"/>
      <c r="N371" s="154">
        <f t="shared" si="897"/>
        <v>0</v>
      </c>
      <c r="O371" s="155">
        <f t="shared" si="862"/>
        <v>0</v>
      </c>
      <c r="P371" s="155">
        <f t="shared" si="863"/>
        <v>10</v>
      </c>
      <c r="Q371" s="155">
        <f t="shared" si="893"/>
        <v>-20</v>
      </c>
      <c r="R371" s="153"/>
      <c r="S371" s="154">
        <f t="shared" si="898"/>
        <v>0</v>
      </c>
      <c r="T371" s="153"/>
      <c r="U371" s="154">
        <f t="shared" si="899"/>
        <v>0</v>
      </c>
      <c r="V371" s="155">
        <f t="shared" si="900"/>
        <v>0</v>
      </c>
      <c r="W371" s="156">
        <f t="shared" si="901"/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35</v>
      </c>
      <c r="D372" s="21" t="str">
        <f>Spieltag!B359</f>
        <v>Muhammed Damar</v>
      </c>
      <c r="E372" s="151" t="str">
        <f>Spieltag!C359</f>
        <v>Mittelfeld</v>
      </c>
      <c r="F372" s="152" t="s">
        <v>77</v>
      </c>
      <c r="G372" s="153"/>
      <c r="H372" s="154">
        <f t="shared" si="894"/>
        <v>0</v>
      </c>
      <c r="I372" s="153"/>
      <c r="J372" s="154">
        <f t="shared" si="895"/>
        <v>0</v>
      </c>
      <c r="K372" s="153"/>
      <c r="L372" s="154">
        <f t="shared" si="896"/>
        <v>0</v>
      </c>
      <c r="M372" s="153"/>
      <c r="N372" s="154">
        <f t="shared" si="897"/>
        <v>0</v>
      </c>
      <c r="O372" s="155">
        <f t="shared" si="862"/>
        <v>0</v>
      </c>
      <c r="P372" s="155">
        <f t="shared" si="863"/>
        <v>10</v>
      </c>
      <c r="Q372" s="155">
        <f t="shared" si="893"/>
        <v>-20</v>
      </c>
      <c r="R372" s="153"/>
      <c r="S372" s="154">
        <f t="shared" si="898"/>
        <v>0</v>
      </c>
      <c r="T372" s="153"/>
      <c r="U372" s="154">
        <f t="shared" si="899"/>
        <v>0</v>
      </c>
      <c r="V372" s="155">
        <f t="shared" si="900"/>
        <v>0</v>
      </c>
      <c r="W372" s="156">
        <f t="shared" si="901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39</v>
      </c>
      <c r="D373" s="21" t="str">
        <f>Spieltag!B360</f>
        <v>Tom Bischof</v>
      </c>
      <c r="E373" s="151" t="str">
        <f>Spieltag!C360</f>
        <v>Mittelfeld</v>
      </c>
      <c r="F373" s="152" t="s">
        <v>77</v>
      </c>
      <c r="G373" s="153"/>
      <c r="H373" s="154">
        <f t="shared" si="894"/>
        <v>0</v>
      </c>
      <c r="I373" s="153"/>
      <c r="J373" s="154">
        <f t="shared" si="895"/>
        <v>0</v>
      </c>
      <c r="K373" s="153"/>
      <c r="L373" s="154">
        <f t="shared" si="896"/>
        <v>0</v>
      </c>
      <c r="M373" s="153"/>
      <c r="N373" s="154">
        <f t="shared" si="897"/>
        <v>0</v>
      </c>
      <c r="O373" s="155">
        <f t="shared" si="862"/>
        <v>0</v>
      </c>
      <c r="P373" s="155">
        <f t="shared" si="863"/>
        <v>10</v>
      </c>
      <c r="Q373" s="155">
        <f t="shared" si="893"/>
        <v>-20</v>
      </c>
      <c r="R373" s="153"/>
      <c r="S373" s="154">
        <f t="shared" si="898"/>
        <v>0</v>
      </c>
      <c r="T373" s="153"/>
      <c r="U373" s="154">
        <f t="shared" si="899"/>
        <v>0</v>
      </c>
      <c r="V373" s="155">
        <f t="shared" si="900"/>
        <v>0</v>
      </c>
      <c r="W373" s="156">
        <f t="shared" si="901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40</v>
      </c>
      <c r="D374" s="21" t="str">
        <f>Spieltag!B361</f>
        <v>Umut Tohumcu</v>
      </c>
      <c r="E374" s="151" t="str">
        <f>Spieltag!C361</f>
        <v>Mittelfeld</v>
      </c>
      <c r="F374" s="152" t="s">
        <v>77</v>
      </c>
      <c r="G374" s="153"/>
      <c r="H374" s="154">
        <f t="shared" si="894"/>
        <v>0</v>
      </c>
      <c r="I374" s="153"/>
      <c r="J374" s="154">
        <f t="shared" si="895"/>
        <v>0</v>
      </c>
      <c r="K374" s="153"/>
      <c r="L374" s="154">
        <f t="shared" si="896"/>
        <v>0</v>
      </c>
      <c r="M374" s="153"/>
      <c r="N374" s="154">
        <f t="shared" si="897"/>
        <v>0</v>
      </c>
      <c r="O374" s="155">
        <f t="shared" si="862"/>
        <v>0</v>
      </c>
      <c r="P374" s="155">
        <f t="shared" si="863"/>
        <v>10</v>
      </c>
      <c r="Q374" s="155">
        <f t="shared" si="893"/>
        <v>-20</v>
      </c>
      <c r="R374" s="153"/>
      <c r="S374" s="154">
        <f t="shared" si="898"/>
        <v>0</v>
      </c>
      <c r="T374" s="153"/>
      <c r="U374" s="154">
        <f t="shared" si="899"/>
        <v>0</v>
      </c>
      <c r="V374" s="155">
        <f t="shared" ref="V374" si="902">IF(AND(R374=2),10,IF(R374=3,30,IF(R374=4,50,IF(R374=5,70,0))))</f>
        <v>0</v>
      </c>
      <c r="W374" s="156">
        <f t="shared" ref="W374" si="903">IF(G374="x",H374+J374+L374+N374+O374+P374+Q374+S374+U374+V374,0)</f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9</v>
      </c>
      <c r="D375" s="21" t="str">
        <f>Spieltag!B362</f>
        <v>Ihlas Bebou (A)</v>
      </c>
      <c r="E375" s="151" t="str">
        <f>Spieltag!C362</f>
        <v>Sturm</v>
      </c>
      <c r="F375" s="152" t="s">
        <v>77</v>
      </c>
      <c r="G375" s="153"/>
      <c r="H375" s="154">
        <f>IF(G375="x",10,0)</f>
        <v>0</v>
      </c>
      <c r="I375" s="153"/>
      <c r="J375" s="154">
        <f>IF((I375="x"),-10,0)</f>
        <v>0</v>
      </c>
      <c r="K375" s="153"/>
      <c r="L375" s="154">
        <f>IF((K375="x"),-20,0)</f>
        <v>0</v>
      </c>
      <c r="M375" s="153"/>
      <c r="N375" s="154">
        <f>IF((M375="x"),-30,0)</f>
        <v>0</v>
      </c>
      <c r="O375" s="155">
        <f t="shared" si="862"/>
        <v>0</v>
      </c>
      <c r="P375" s="155">
        <f t="shared" si="863"/>
        <v>10</v>
      </c>
      <c r="Q375" s="155">
        <f t="shared" ref="Q375:Q381" si="904">IF(($W$3&lt;&gt;0),$W$3*-10,5)</f>
        <v>-20</v>
      </c>
      <c r="R375" s="153"/>
      <c r="S375" s="154">
        <f>R375*10</f>
        <v>0</v>
      </c>
      <c r="T375" s="153"/>
      <c r="U375" s="154">
        <f>T375*-15</f>
        <v>0</v>
      </c>
      <c r="V375" s="155">
        <f>IF(AND(R375=2),10,IF(R375=3,30,IF(R375=4,50,IF(R375=5,70,0))))</f>
        <v>0</v>
      </c>
      <c r="W375" s="156">
        <f>IF(G375="x",H375+J375+L375+N375+O375+P375+Q375+S375+U375+V375,0)</f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10</v>
      </c>
      <c r="D376" s="21" t="str">
        <f>Spieltag!B363</f>
        <v>Wout Weghorst (A)</v>
      </c>
      <c r="E376" s="151" t="str">
        <f>Spieltag!C363</f>
        <v>Sturm</v>
      </c>
      <c r="F376" s="152" t="s">
        <v>77</v>
      </c>
      <c r="G376" s="153"/>
      <c r="H376" s="154">
        <f t="shared" ref="H376:H381" si="905">IF(G376="x",10,0)</f>
        <v>0</v>
      </c>
      <c r="I376" s="153"/>
      <c r="J376" s="154">
        <f t="shared" ref="J376:J381" si="906">IF((I376="x"),-10,0)</f>
        <v>0</v>
      </c>
      <c r="K376" s="153"/>
      <c r="L376" s="154">
        <f t="shared" ref="L376:L381" si="907">IF((K376="x"),-20,0)</f>
        <v>0</v>
      </c>
      <c r="M376" s="153"/>
      <c r="N376" s="154">
        <f t="shared" ref="N376:N381" si="908">IF((M376="x"),-30,0)</f>
        <v>0</v>
      </c>
      <c r="O376" s="155">
        <f t="shared" si="862"/>
        <v>0</v>
      </c>
      <c r="P376" s="155">
        <f t="shared" si="863"/>
        <v>10</v>
      </c>
      <c r="Q376" s="155">
        <f t="shared" si="904"/>
        <v>-20</v>
      </c>
      <c r="R376" s="153"/>
      <c r="S376" s="154">
        <f t="shared" ref="S376:S381" si="909">R376*10</f>
        <v>0</v>
      </c>
      <c r="T376" s="153"/>
      <c r="U376" s="154">
        <f t="shared" ref="U376:U381" si="910">T376*-15</f>
        <v>0</v>
      </c>
      <c r="V376" s="155">
        <f t="shared" ref="V376:V381" si="911">IF(AND(R376=2),10,IF(R376=3,30,IF(R376=4,50,IF(R376=5,70,0))))</f>
        <v>0</v>
      </c>
      <c r="W376" s="156">
        <f t="shared" ref="W376:W381" si="912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14</v>
      </c>
      <c r="D377" s="21" t="str">
        <f>Spieltag!B364</f>
        <v>Maximilian Beier</v>
      </c>
      <c r="E377" s="151" t="str">
        <f>Spieltag!C364</f>
        <v>Sturm</v>
      </c>
      <c r="F377" s="152" t="s">
        <v>77</v>
      </c>
      <c r="G377" s="153"/>
      <c r="H377" s="154">
        <f t="shared" si="905"/>
        <v>0</v>
      </c>
      <c r="I377" s="153"/>
      <c r="J377" s="154">
        <f t="shared" si="906"/>
        <v>0</v>
      </c>
      <c r="K377" s="153"/>
      <c r="L377" s="154">
        <f t="shared" si="907"/>
        <v>0</v>
      </c>
      <c r="M377" s="153"/>
      <c r="N377" s="154">
        <f t="shared" si="908"/>
        <v>0</v>
      </c>
      <c r="O377" s="155">
        <f t="shared" si="862"/>
        <v>0</v>
      </c>
      <c r="P377" s="155">
        <f t="shared" si="863"/>
        <v>10</v>
      </c>
      <c r="Q377" s="155">
        <f t="shared" si="904"/>
        <v>-20</v>
      </c>
      <c r="R377" s="153"/>
      <c r="S377" s="154">
        <f t="shared" si="909"/>
        <v>0</v>
      </c>
      <c r="T377" s="153"/>
      <c r="U377" s="154">
        <f t="shared" si="910"/>
        <v>0</v>
      </c>
      <c r="V377" s="155">
        <f t="shared" si="911"/>
        <v>0</v>
      </c>
      <c r="W377" s="156">
        <f t="shared" si="912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21</v>
      </c>
      <c r="D378" s="21" t="str">
        <f>Spieltag!B365</f>
        <v>Marius Bülter</v>
      </c>
      <c r="E378" s="151" t="str">
        <f>Spieltag!C365</f>
        <v>Sturm</v>
      </c>
      <c r="F378" s="152" t="s">
        <v>77</v>
      </c>
      <c r="G378" s="153"/>
      <c r="H378" s="154">
        <f t="shared" ref="H378" si="913">IF(G378="x",10,0)</f>
        <v>0</v>
      </c>
      <c r="I378" s="153"/>
      <c r="J378" s="154">
        <f t="shared" ref="J378" si="914">IF((I378="x"),-10,0)</f>
        <v>0</v>
      </c>
      <c r="K378" s="153"/>
      <c r="L378" s="154">
        <f t="shared" ref="L378" si="915">IF((K378="x"),-20,0)</f>
        <v>0</v>
      </c>
      <c r="M378" s="153"/>
      <c r="N378" s="154">
        <f t="shared" ref="N378" si="916">IF((M378="x"),-30,0)</f>
        <v>0</v>
      </c>
      <c r="O378" s="155">
        <f t="shared" si="862"/>
        <v>0</v>
      </c>
      <c r="P378" s="155">
        <f t="shared" si="863"/>
        <v>10</v>
      </c>
      <c r="Q378" s="155">
        <f t="shared" si="904"/>
        <v>-20</v>
      </c>
      <c r="R378" s="153"/>
      <c r="S378" s="154">
        <f t="shared" ref="S378" si="917">R378*10</f>
        <v>0</v>
      </c>
      <c r="T378" s="153"/>
      <c r="U378" s="154">
        <f t="shared" ref="U378" si="918">T378*-15</f>
        <v>0</v>
      </c>
      <c r="V378" s="155">
        <f t="shared" ref="V378" si="919">IF(AND(R378=2),10,IF(R378=3,30,IF(R378=4,50,IF(R378=5,70,0))))</f>
        <v>0</v>
      </c>
      <c r="W378" s="156">
        <f t="shared" ref="W378" si="920">IF(G378="x",H378+J378+L378+N378+O378+P378+Q378+S378+U378+V378,0)</f>
        <v>0</v>
      </c>
    </row>
    <row r="379" spans="1:23" ht="10.5" customHeight="1" x14ac:dyDescent="0.2">
      <c r="A379" s="11"/>
      <c r="B379" s="150">
        <f>COUNTA(Spieltag!K366:AA366)</f>
        <v>3</v>
      </c>
      <c r="C379" s="166">
        <f>Spieltag!A366</f>
        <v>27</v>
      </c>
      <c r="D379" s="21" t="str">
        <f>Spieltag!B366</f>
        <v>Andrej Kramaric (A)</v>
      </c>
      <c r="E379" s="151" t="str">
        <f>Spieltag!C366</f>
        <v>Sturm</v>
      </c>
      <c r="F379" s="152" t="s">
        <v>77</v>
      </c>
      <c r="G379" s="153" t="s">
        <v>676</v>
      </c>
      <c r="H379" s="154">
        <f t="shared" si="905"/>
        <v>10</v>
      </c>
      <c r="I379" s="153"/>
      <c r="J379" s="154">
        <f t="shared" si="906"/>
        <v>0</v>
      </c>
      <c r="K379" s="153"/>
      <c r="L379" s="154">
        <f t="shared" si="907"/>
        <v>0</v>
      </c>
      <c r="M379" s="153"/>
      <c r="N379" s="154">
        <f t="shared" si="908"/>
        <v>0</v>
      </c>
      <c r="O379" s="155">
        <f t="shared" si="862"/>
        <v>0</v>
      </c>
      <c r="P379" s="155">
        <f t="shared" si="863"/>
        <v>10</v>
      </c>
      <c r="Q379" s="155">
        <f t="shared" si="904"/>
        <v>-20</v>
      </c>
      <c r="R379" s="153"/>
      <c r="S379" s="154">
        <f t="shared" si="909"/>
        <v>0</v>
      </c>
      <c r="T379" s="153"/>
      <c r="U379" s="154">
        <f t="shared" si="910"/>
        <v>0</v>
      </c>
      <c r="V379" s="155">
        <f t="shared" si="911"/>
        <v>0</v>
      </c>
      <c r="W379" s="156">
        <f t="shared" si="912"/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29</v>
      </c>
      <c r="D380" s="21" t="str">
        <f>Spieltag!B367</f>
        <v>Robert Skov (A)</v>
      </c>
      <c r="E380" s="151" t="str">
        <f>Spieltag!C367</f>
        <v>Sturm</v>
      </c>
      <c r="F380" s="152" t="s">
        <v>77</v>
      </c>
      <c r="G380" s="153"/>
      <c r="H380" s="154">
        <f t="shared" si="905"/>
        <v>0</v>
      </c>
      <c r="I380" s="153"/>
      <c r="J380" s="154">
        <f t="shared" si="906"/>
        <v>0</v>
      </c>
      <c r="K380" s="153"/>
      <c r="L380" s="154">
        <f t="shared" si="907"/>
        <v>0</v>
      </c>
      <c r="M380" s="153"/>
      <c r="N380" s="154">
        <f t="shared" si="908"/>
        <v>0</v>
      </c>
      <c r="O380" s="155">
        <f t="shared" si="862"/>
        <v>0</v>
      </c>
      <c r="P380" s="155">
        <f t="shared" si="863"/>
        <v>10</v>
      </c>
      <c r="Q380" s="155">
        <f t="shared" si="904"/>
        <v>-20</v>
      </c>
      <c r="R380" s="153"/>
      <c r="S380" s="154">
        <f t="shared" si="909"/>
        <v>0</v>
      </c>
      <c r="T380" s="153"/>
      <c r="U380" s="154">
        <f t="shared" si="910"/>
        <v>0</v>
      </c>
      <c r="V380" s="155">
        <f t="shared" si="911"/>
        <v>0</v>
      </c>
      <c r="W380" s="156">
        <f t="shared" si="912"/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44</v>
      </c>
      <c r="D381" s="21" t="str">
        <f>Spieltag!B368</f>
        <v>Fisnik Asllani</v>
      </c>
      <c r="E381" s="151" t="str">
        <f>Spieltag!C368</f>
        <v>Sturm</v>
      </c>
      <c r="F381" s="152" t="s">
        <v>77</v>
      </c>
      <c r="G381" s="153"/>
      <c r="H381" s="154">
        <f t="shared" si="905"/>
        <v>0</v>
      </c>
      <c r="I381" s="153"/>
      <c r="J381" s="154">
        <f t="shared" si="906"/>
        <v>0</v>
      </c>
      <c r="K381" s="153"/>
      <c r="L381" s="154">
        <f t="shared" si="907"/>
        <v>0</v>
      </c>
      <c r="M381" s="153"/>
      <c r="N381" s="154">
        <f t="shared" si="908"/>
        <v>0</v>
      </c>
      <c r="O381" s="155">
        <f t="shared" si="862"/>
        <v>0</v>
      </c>
      <c r="P381" s="155">
        <f t="shared" si="863"/>
        <v>10</v>
      </c>
      <c r="Q381" s="155">
        <f t="shared" si="904"/>
        <v>-20</v>
      </c>
      <c r="R381" s="153"/>
      <c r="S381" s="154">
        <f t="shared" si="909"/>
        <v>0</v>
      </c>
      <c r="T381" s="153"/>
      <c r="U381" s="154">
        <f t="shared" si="910"/>
        <v>0</v>
      </c>
      <c r="V381" s="155">
        <f t="shared" si="911"/>
        <v>0</v>
      </c>
      <c r="W381" s="156">
        <f t="shared" si="912"/>
        <v>0</v>
      </c>
    </row>
    <row r="382" spans="1:23" s="144" customFormat="1" ht="17.25" hidden="1" thickBot="1" x14ac:dyDescent="0.25">
      <c r="A382" s="142"/>
      <c r="B382" s="143">
        <f>SUM(B383:B409)</f>
        <v>0</v>
      </c>
      <c r="C382" s="158"/>
      <c r="D382" s="221" t="s">
        <v>356</v>
      </c>
      <c r="E382" s="221"/>
      <c r="F382" s="221"/>
      <c r="G382" s="221"/>
      <c r="H382" s="221"/>
      <c r="I382" s="221"/>
      <c r="J382" s="221"/>
      <c r="K382" s="221"/>
      <c r="L382" s="221"/>
      <c r="M382" s="221"/>
      <c r="N382" s="221"/>
      <c r="O382" s="221"/>
      <c r="P382" s="221"/>
      <c r="Q382" s="221"/>
      <c r="R382" s="221"/>
      <c r="S382" s="221"/>
      <c r="T382" s="221"/>
      <c r="U382" s="221"/>
      <c r="V382" s="221"/>
      <c r="W382" s="222"/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1</v>
      </c>
      <c r="D383" s="21" t="str">
        <f>Spieltag!B370</f>
        <v>Jiri Pavlenka (A)</v>
      </c>
      <c r="E383" s="12" t="str">
        <f>Spieltag!C370</f>
        <v>Torwart</v>
      </c>
      <c r="F383" s="13" t="s">
        <v>354</v>
      </c>
      <c r="G383" s="14"/>
      <c r="H383" s="15">
        <f>IF(G383="x",10,0)</f>
        <v>0</v>
      </c>
      <c r="I383" s="14"/>
      <c r="J383" s="15">
        <f>IF((I383="x"),-10,0)</f>
        <v>0</v>
      </c>
      <c r="K383" s="14"/>
      <c r="L383" s="15">
        <f>IF((K383="x"),-20,0)</f>
        <v>0</v>
      </c>
      <c r="M383" s="14"/>
      <c r="N383" s="15">
        <f>IF((M383="x"),-30,0)</f>
        <v>0</v>
      </c>
      <c r="O383" s="16">
        <f>IF(AND($P$4&gt;$Q$4),20,IF($P$4=$Q$4,10,0))</f>
        <v>0</v>
      </c>
      <c r="P383" s="16">
        <f>IF(($P$4&lt;&gt;0),$P$4*10,-5)</f>
        <v>-5</v>
      </c>
      <c r="Q383" s="16">
        <f>IF(($Q$4&lt;&gt;0),$Q$4*-10,20)</f>
        <v>-40</v>
      </c>
      <c r="R383" s="14"/>
      <c r="S383" s="15">
        <f>R383*20</f>
        <v>0</v>
      </c>
      <c r="T383" s="14"/>
      <c r="U383" s="15">
        <f>T383*-15</f>
        <v>0</v>
      </c>
      <c r="V383" s="16">
        <f>IF(AND(R383=2),10,IF(R383=3,30,IF(R383=4,50,IF(R383=5,70,0))))</f>
        <v>0</v>
      </c>
      <c r="W383" s="17">
        <f>IF(G383="x",H383+J383+L383+N383+O383+P383+Q383+S383+U383+V383,0)</f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30</v>
      </c>
      <c r="D384" s="21" t="str">
        <f>Spieltag!B371</f>
        <v>Michael Zetterer</v>
      </c>
      <c r="E384" s="12" t="str">
        <f>Spieltag!C371</f>
        <v>Torwart</v>
      </c>
      <c r="F384" s="13" t="s">
        <v>354</v>
      </c>
      <c r="G384" s="14"/>
      <c r="H384" s="15">
        <f t="shared" ref="H384:H385" si="921">IF(G384="x",10,0)</f>
        <v>0</v>
      </c>
      <c r="I384" s="14"/>
      <c r="J384" s="15">
        <f t="shared" ref="J384:J385" si="922">IF((I384="x"),-10,0)</f>
        <v>0</v>
      </c>
      <c r="K384" s="14"/>
      <c r="L384" s="15">
        <f t="shared" ref="L384:L385" si="923">IF((K384="x"),-20,0)</f>
        <v>0</v>
      </c>
      <c r="M384" s="14"/>
      <c r="N384" s="15">
        <f t="shared" ref="N384:N385" si="924">IF((M384="x"),-30,0)</f>
        <v>0</v>
      </c>
      <c r="O384" s="16">
        <f t="shared" ref="O384:O385" si="925">IF(AND($P$4&gt;$Q$4),20,IF($P$4=$Q$4,10,0))</f>
        <v>0</v>
      </c>
      <c r="P384" s="16">
        <f t="shared" ref="P384:P385" si="926">IF(($P$4&lt;&gt;0),$P$4*10,-5)</f>
        <v>-5</v>
      </c>
      <c r="Q384" s="16">
        <f t="shared" ref="Q384:Q385" si="927">IF(($Q$4&lt;&gt;0),$Q$4*-10,20)</f>
        <v>-40</v>
      </c>
      <c r="R384" s="14"/>
      <c r="S384" s="15">
        <f t="shared" ref="S384:S385" si="928">R384*20</f>
        <v>0</v>
      </c>
      <c r="T384" s="14"/>
      <c r="U384" s="15">
        <f t="shared" ref="U384:U385" si="929">T384*-15</f>
        <v>0</v>
      </c>
      <c r="V384" s="16">
        <f t="shared" ref="V384:V385" si="930">IF(AND(R384=2),10,IF(R384=3,30,IF(R384=4,50,IF(R384=5,70,0))))</f>
        <v>0</v>
      </c>
      <c r="W384" s="17">
        <f t="shared" ref="W384:W385" si="931">IF(G384="x",H384+J384+L384+N384+O384+P384+Q384+S384+U384+V384,0)</f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38</v>
      </c>
      <c r="D385" s="21" t="str">
        <f>Spieltag!B372</f>
        <v>Eduardo dos Santos Haesler</v>
      </c>
      <c r="E385" s="12" t="str">
        <f>Spieltag!C372</f>
        <v>Torwart</v>
      </c>
      <c r="F385" s="13" t="s">
        <v>354</v>
      </c>
      <c r="G385" s="14"/>
      <c r="H385" s="15">
        <f t="shared" si="921"/>
        <v>0</v>
      </c>
      <c r="I385" s="14"/>
      <c r="J385" s="15">
        <f t="shared" si="922"/>
        <v>0</v>
      </c>
      <c r="K385" s="14"/>
      <c r="L385" s="15">
        <f t="shared" si="923"/>
        <v>0</v>
      </c>
      <c r="M385" s="14"/>
      <c r="N385" s="15">
        <f t="shared" si="924"/>
        <v>0</v>
      </c>
      <c r="O385" s="16">
        <f t="shared" si="925"/>
        <v>0</v>
      </c>
      <c r="P385" s="16">
        <f t="shared" si="926"/>
        <v>-5</v>
      </c>
      <c r="Q385" s="16">
        <f t="shared" si="927"/>
        <v>-40</v>
      </c>
      <c r="R385" s="14"/>
      <c r="S385" s="15">
        <f t="shared" si="928"/>
        <v>0</v>
      </c>
      <c r="T385" s="14"/>
      <c r="U385" s="15">
        <f t="shared" si="929"/>
        <v>0</v>
      </c>
      <c r="V385" s="16">
        <f t="shared" si="930"/>
        <v>0</v>
      </c>
      <c r="W385" s="17">
        <f t="shared" si="931"/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3</v>
      </c>
      <c r="D386" s="21" t="str">
        <f>Spieltag!B373</f>
        <v>Anthony Jung</v>
      </c>
      <c r="E386" s="12" t="str">
        <f>Spieltag!C373</f>
        <v>Abwehr</v>
      </c>
      <c r="F386" s="13" t="s">
        <v>354</v>
      </c>
      <c r="G386" s="14"/>
      <c r="H386" s="15">
        <f t="shared" ref="H386" si="932">IF(G386="x",10,0)</f>
        <v>0</v>
      </c>
      <c r="I386" s="14"/>
      <c r="J386" s="15">
        <f t="shared" ref="J386" si="933">IF((I386="x"),-10,0)</f>
        <v>0</v>
      </c>
      <c r="K386" s="14"/>
      <c r="L386" s="15">
        <f t="shared" ref="L386" si="934">IF((K386="x"),-20,0)</f>
        <v>0</v>
      </c>
      <c r="M386" s="14"/>
      <c r="N386" s="15">
        <f t="shared" ref="N386" si="935">IF((M386="x"),-30,0)</f>
        <v>0</v>
      </c>
      <c r="O386" s="16">
        <f t="shared" ref="O386:O393" si="936">IF(AND($P$4&gt;$Q$4),20,IF($P$4=$Q$4,10,0))</f>
        <v>0</v>
      </c>
      <c r="P386" s="16">
        <f t="shared" ref="P386:P393" si="937">IF(($P$4&lt;&gt;0),$P$4*10,-5)</f>
        <v>-5</v>
      </c>
      <c r="Q386" s="16">
        <f t="shared" ref="Q386:Q393" si="938">IF(($Q$4&lt;&gt;0),$Q$4*-10,15)</f>
        <v>-40</v>
      </c>
      <c r="R386" s="14"/>
      <c r="S386" s="15">
        <f t="shared" ref="S386" si="939">R386*15</f>
        <v>0</v>
      </c>
      <c r="T386" s="14"/>
      <c r="U386" s="15">
        <f t="shared" ref="U386" si="940">T386*-15</f>
        <v>0</v>
      </c>
      <c r="V386" s="16">
        <f t="shared" ref="V386" si="941">IF(AND(R386=2),10,IF(R386=3,30,IF(R386=4,50,IF(R386=5,70,0))))</f>
        <v>0</v>
      </c>
      <c r="W386" s="17">
        <f t="shared" ref="W386" si="942">IF(G386="x",H386+J386+L386+N386+O386+P386+Q386+S386+U386+V386,0)</f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4</v>
      </c>
      <c r="D387" s="21" t="str">
        <f>Spieltag!B374</f>
        <v>Niklas Stark</v>
      </c>
      <c r="E387" s="12" t="str">
        <f>Spieltag!C374</f>
        <v>Abwehr</v>
      </c>
      <c r="F387" s="13" t="s">
        <v>354</v>
      </c>
      <c r="G387" s="14"/>
      <c r="H387" s="15">
        <f t="shared" ref="H387:H393" si="943">IF(G387="x",10,0)</f>
        <v>0</v>
      </c>
      <c r="I387" s="14"/>
      <c r="J387" s="15">
        <f t="shared" ref="J387:J393" si="944">IF((I387="x"),-10,0)</f>
        <v>0</v>
      </c>
      <c r="K387" s="14"/>
      <c r="L387" s="15">
        <f t="shared" ref="L387:L393" si="945">IF((K387="x"),-20,0)</f>
        <v>0</v>
      </c>
      <c r="M387" s="14"/>
      <c r="N387" s="15">
        <f t="shared" ref="N387:N393" si="946">IF((M387="x"),-30,0)</f>
        <v>0</v>
      </c>
      <c r="O387" s="16">
        <f t="shared" si="936"/>
        <v>0</v>
      </c>
      <c r="P387" s="16">
        <f t="shared" si="937"/>
        <v>-5</v>
      </c>
      <c r="Q387" s="16">
        <f t="shared" si="938"/>
        <v>-40</v>
      </c>
      <c r="R387" s="14"/>
      <c r="S387" s="15">
        <f t="shared" ref="S387:S393" si="947">R387*15</f>
        <v>0</v>
      </c>
      <c r="T387" s="14"/>
      <c r="U387" s="15">
        <f t="shared" ref="U387:U393" si="948">T387*-15</f>
        <v>0</v>
      </c>
      <c r="V387" s="16">
        <f t="shared" ref="V387:V393" si="949">IF(AND(R387=2),10,IF(R387=3,30,IF(R387=4,50,IF(R387=5,70,0))))</f>
        <v>0</v>
      </c>
      <c r="W387" s="17">
        <f t="shared" ref="W387:W393" si="950"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5</v>
      </c>
      <c r="D388" s="21" t="str">
        <f>Spieltag!B375</f>
        <v>Amos Pieper</v>
      </c>
      <c r="E388" s="12" t="str">
        <f>Spieltag!C375</f>
        <v>Abwehr</v>
      </c>
      <c r="F388" s="13" t="s">
        <v>354</v>
      </c>
      <c r="G388" s="14"/>
      <c r="H388" s="15">
        <f t="shared" si="943"/>
        <v>0</v>
      </c>
      <c r="I388" s="14"/>
      <c r="J388" s="15">
        <f t="shared" si="944"/>
        <v>0</v>
      </c>
      <c r="K388" s="14"/>
      <c r="L388" s="15">
        <f t="shared" si="945"/>
        <v>0</v>
      </c>
      <c r="M388" s="14"/>
      <c r="N388" s="15">
        <f t="shared" si="946"/>
        <v>0</v>
      </c>
      <c r="O388" s="16">
        <f t="shared" si="936"/>
        <v>0</v>
      </c>
      <c r="P388" s="16">
        <f t="shared" si="937"/>
        <v>-5</v>
      </c>
      <c r="Q388" s="16">
        <f t="shared" si="938"/>
        <v>-40</v>
      </c>
      <c r="R388" s="14"/>
      <c r="S388" s="15">
        <f t="shared" si="947"/>
        <v>0</v>
      </c>
      <c r="T388" s="14"/>
      <c r="U388" s="15">
        <f t="shared" si="948"/>
        <v>0</v>
      </c>
      <c r="V388" s="16">
        <f t="shared" si="949"/>
        <v>0</v>
      </c>
      <c r="W388" s="17">
        <f t="shared" si="950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8</v>
      </c>
      <c r="D389" s="21" t="str">
        <f>Spieltag!B376</f>
        <v>Mitchell Weiser</v>
      </c>
      <c r="E389" s="12" t="str">
        <f>Spieltag!C376</f>
        <v>Abwehr</v>
      </c>
      <c r="F389" s="13" t="s">
        <v>354</v>
      </c>
      <c r="G389" s="14"/>
      <c r="H389" s="15">
        <f t="shared" si="943"/>
        <v>0</v>
      </c>
      <c r="I389" s="14"/>
      <c r="J389" s="15">
        <f t="shared" si="944"/>
        <v>0</v>
      </c>
      <c r="K389" s="14"/>
      <c r="L389" s="15">
        <f t="shared" si="945"/>
        <v>0</v>
      </c>
      <c r="M389" s="14"/>
      <c r="N389" s="15">
        <f t="shared" si="946"/>
        <v>0</v>
      </c>
      <c r="O389" s="16">
        <f t="shared" si="936"/>
        <v>0</v>
      </c>
      <c r="P389" s="16">
        <f t="shared" si="937"/>
        <v>-5</v>
      </c>
      <c r="Q389" s="16">
        <f t="shared" si="938"/>
        <v>-40</v>
      </c>
      <c r="R389" s="14"/>
      <c r="S389" s="15">
        <f t="shared" si="947"/>
        <v>0</v>
      </c>
      <c r="T389" s="14"/>
      <c r="U389" s="15">
        <f t="shared" si="948"/>
        <v>0</v>
      </c>
      <c r="V389" s="16">
        <f t="shared" si="949"/>
        <v>0</v>
      </c>
      <c r="W389" s="17">
        <f t="shared" si="950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13</v>
      </c>
      <c r="D390" s="21" t="str">
        <f>Spieltag!B377</f>
        <v>Milos Veljkovic (A)</v>
      </c>
      <c r="E390" s="12" t="str">
        <f>Spieltag!C377</f>
        <v>Abwehr</v>
      </c>
      <c r="F390" s="13" t="s">
        <v>354</v>
      </c>
      <c r="G390" s="14"/>
      <c r="H390" s="15">
        <f t="shared" si="943"/>
        <v>0</v>
      </c>
      <c r="I390" s="14"/>
      <c r="J390" s="15">
        <f t="shared" si="944"/>
        <v>0</v>
      </c>
      <c r="K390" s="14"/>
      <c r="L390" s="15">
        <f t="shared" si="945"/>
        <v>0</v>
      </c>
      <c r="M390" s="14"/>
      <c r="N390" s="15">
        <f t="shared" si="946"/>
        <v>0</v>
      </c>
      <c r="O390" s="16">
        <f t="shared" si="936"/>
        <v>0</v>
      </c>
      <c r="P390" s="16">
        <f t="shared" si="937"/>
        <v>-5</v>
      </c>
      <c r="Q390" s="16">
        <f t="shared" si="938"/>
        <v>-40</v>
      </c>
      <c r="R390" s="14"/>
      <c r="S390" s="15">
        <f t="shared" si="947"/>
        <v>0</v>
      </c>
      <c r="T390" s="14"/>
      <c r="U390" s="15">
        <f t="shared" si="948"/>
        <v>0</v>
      </c>
      <c r="V390" s="16">
        <f t="shared" si="949"/>
        <v>0</v>
      </c>
      <c r="W390" s="17">
        <f t="shared" si="950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27</v>
      </c>
      <c r="D391" s="21" t="str">
        <f>Spieltag!B378</f>
        <v>Felix Agu</v>
      </c>
      <c r="E391" s="12" t="str">
        <f>Spieltag!C378</f>
        <v>Abwehr</v>
      </c>
      <c r="F391" s="13" t="s">
        <v>354</v>
      </c>
      <c r="G391" s="14"/>
      <c r="H391" s="15">
        <f t="shared" si="943"/>
        <v>0</v>
      </c>
      <c r="I391" s="14"/>
      <c r="J391" s="15">
        <f t="shared" si="944"/>
        <v>0</v>
      </c>
      <c r="K391" s="14"/>
      <c r="L391" s="15">
        <f t="shared" si="945"/>
        <v>0</v>
      </c>
      <c r="M391" s="14"/>
      <c r="N391" s="15">
        <f t="shared" si="946"/>
        <v>0</v>
      </c>
      <c r="O391" s="16">
        <f t="shared" si="936"/>
        <v>0</v>
      </c>
      <c r="P391" s="16">
        <f t="shared" si="937"/>
        <v>-5</v>
      </c>
      <c r="Q391" s="16">
        <f t="shared" si="938"/>
        <v>-40</v>
      </c>
      <c r="R391" s="14"/>
      <c r="S391" s="15">
        <f t="shared" si="947"/>
        <v>0</v>
      </c>
      <c r="T391" s="14"/>
      <c r="U391" s="15">
        <f t="shared" si="948"/>
        <v>0</v>
      </c>
      <c r="V391" s="16">
        <f t="shared" si="949"/>
        <v>0</v>
      </c>
      <c r="W391" s="17">
        <f t="shared" si="950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32</v>
      </c>
      <c r="D392" s="21" t="str">
        <f>Spieltag!B379</f>
        <v>Marco Friedl (A)</v>
      </c>
      <c r="E392" s="12" t="str">
        <f>Spieltag!C379</f>
        <v>Abwehr</v>
      </c>
      <c r="F392" s="13" t="s">
        <v>354</v>
      </c>
      <c r="G392" s="14"/>
      <c r="H392" s="15">
        <f t="shared" si="943"/>
        <v>0</v>
      </c>
      <c r="I392" s="14"/>
      <c r="J392" s="15">
        <f t="shared" si="944"/>
        <v>0</v>
      </c>
      <c r="K392" s="14"/>
      <c r="L392" s="15">
        <f t="shared" si="945"/>
        <v>0</v>
      </c>
      <c r="M392" s="14"/>
      <c r="N392" s="15">
        <f t="shared" si="946"/>
        <v>0</v>
      </c>
      <c r="O392" s="16">
        <f t="shared" si="936"/>
        <v>0</v>
      </c>
      <c r="P392" s="16">
        <f t="shared" si="937"/>
        <v>-5</v>
      </c>
      <c r="Q392" s="16">
        <f t="shared" si="938"/>
        <v>-40</v>
      </c>
      <c r="R392" s="14"/>
      <c r="S392" s="15">
        <f t="shared" si="947"/>
        <v>0</v>
      </c>
      <c r="T392" s="14"/>
      <c r="U392" s="15">
        <f t="shared" si="948"/>
        <v>0</v>
      </c>
      <c r="V392" s="16">
        <f t="shared" si="949"/>
        <v>0</v>
      </c>
      <c r="W392" s="17">
        <f t="shared" si="950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36</v>
      </c>
      <c r="D393" s="21" t="str">
        <f>Spieltag!B380</f>
        <v>Christian Gross</v>
      </c>
      <c r="E393" s="12" t="str">
        <f>Spieltag!C380</f>
        <v>Abwehr</v>
      </c>
      <c r="F393" s="13" t="s">
        <v>354</v>
      </c>
      <c r="G393" s="14"/>
      <c r="H393" s="15">
        <f t="shared" si="943"/>
        <v>0</v>
      </c>
      <c r="I393" s="14"/>
      <c r="J393" s="15">
        <f t="shared" si="944"/>
        <v>0</v>
      </c>
      <c r="K393" s="14"/>
      <c r="L393" s="15">
        <f t="shared" si="945"/>
        <v>0</v>
      </c>
      <c r="M393" s="14"/>
      <c r="N393" s="15">
        <f t="shared" si="946"/>
        <v>0</v>
      </c>
      <c r="O393" s="16">
        <f t="shared" si="936"/>
        <v>0</v>
      </c>
      <c r="P393" s="16">
        <f t="shared" si="937"/>
        <v>-5</v>
      </c>
      <c r="Q393" s="16">
        <f t="shared" si="938"/>
        <v>-40</v>
      </c>
      <c r="R393" s="14"/>
      <c r="S393" s="15">
        <f t="shared" si="947"/>
        <v>0</v>
      </c>
      <c r="T393" s="14"/>
      <c r="U393" s="15">
        <f t="shared" si="948"/>
        <v>0</v>
      </c>
      <c r="V393" s="16">
        <f t="shared" si="949"/>
        <v>0</v>
      </c>
      <c r="W393" s="17">
        <f t="shared" si="950"/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6</v>
      </c>
      <c r="D394" s="21" t="str">
        <f>Spieltag!B381</f>
        <v>Jens Stage (A)</v>
      </c>
      <c r="E394" s="12" t="str">
        <f>Spieltag!C381</f>
        <v>Mittelfeld</v>
      </c>
      <c r="F394" s="13" t="s">
        <v>354</v>
      </c>
      <c r="G394" s="14"/>
      <c r="H394" s="15">
        <f>IF(G394="x",10,0)</f>
        <v>0</v>
      </c>
      <c r="I394" s="14"/>
      <c r="J394" s="15">
        <f>IF((I394="x"),-10,0)</f>
        <v>0</v>
      </c>
      <c r="K394" s="14"/>
      <c r="L394" s="15">
        <f>IF((K394="x"),-20,0)</f>
        <v>0</v>
      </c>
      <c r="M394" s="14"/>
      <c r="N394" s="15">
        <f>IF((M394="x"),-30,0)</f>
        <v>0</v>
      </c>
      <c r="O394" s="16">
        <f t="shared" ref="O394:O409" si="951">IF(AND($P$4&gt;$Q$4),20,IF($P$4=$Q$4,10,0))</f>
        <v>0</v>
      </c>
      <c r="P394" s="16">
        <f t="shared" ref="P394:P409" si="952">IF(($P$4&lt;&gt;0),$P$4*10,-5)</f>
        <v>-5</v>
      </c>
      <c r="Q394" s="16">
        <f t="shared" ref="Q394:Q402" si="953">IF(($Q$4&lt;&gt;0),$Q$4*-10,10)</f>
        <v>-40</v>
      </c>
      <c r="R394" s="14"/>
      <c r="S394" s="15">
        <f>R394*10</f>
        <v>0</v>
      </c>
      <c r="T394" s="14"/>
      <c r="U394" s="15">
        <f>T394*-15</f>
        <v>0</v>
      </c>
      <c r="V394" s="16">
        <f>IF(AND(R394=2),10,IF(R394=3,30,IF(R394=4,50,IF(R394=5,70,0))))</f>
        <v>0</v>
      </c>
      <c r="W394" s="17">
        <f>IF(G394="x",H394+J394+L394+N394+O394+P394+Q394+S394+U394+V394,0)</f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10</v>
      </c>
      <c r="D395" s="21" t="str">
        <f>Spieltag!B382</f>
        <v>Leonardo Bittencourt</v>
      </c>
      <c r="E395" s="12" t="str">
        <f>Spieltag!C382</f>
        <v>Mittelfeld</v>
      </c>
      <c r="F395" s="13" t="s">
        <v>354</v>
      </c>
      <c r="G395" s="14"/>
      <c r="H395" s="15">
        <f t="shared" ref="H395:H402" si="954">IF(G395="x",10,0)</f>
        <v>0</v>
      </c>
      <c r="I395" s="14"/>
      <c r="J395" s="15">
        <f t="shared" ref="J395:J402" si="955">IF((I395="x"),-10,0)</f>
        <v>0</v>
      </c>
      <c r="K395" s="14"/>
      <c r="L395" s="15">
        <f t="shared" ref="L395:L402" si="956">IF((K395="x"),-20,0)</f>
        <v>0</v>
      </c>
      <c r="M395" s="14"/>
      <c r="N395" s="15">
        <f t="shared" ref="N395:N402" si="957">IF((M395="x"),-30,0)</f>
        <v>0</v>
      </c>
      <c r="O395" s="16">
        <f t="shared" si="951"/>
        <v>0</v>
      </c>
      <c r="P395" s="16">
        <f t="shared" si="952"/>
        <v>-5</v>
      </c>
      <c r="Q395" s="16">
        <f t="shared" si="953"/>
        <v>-40</v>
      </c>
      <c r="R395" s="14"/>
      <c r="S395" s="15">
        <f t="shared" ref="S395:S402" si="958">R395*10</f>
        <v>0</v>
      </c>
      <c r="T395" s="14"/>
      <c r="U395" s="15">
        <f t="shared" ref="U395:U402" si="959">T395*-15</f>
        <v>0</v>
      </c>
      <c r="V395" s="16">
        <f t="shared" ref="V395:V402" si="960">IF(AND(R395=2),10,IF(R395=3,30,IF(R395=4,50,IF(R395=5,70,0))))</f>
        <v>0</v>
      </c>
      <c r="W395" s="17">
        <f t="shared" ref="W395:W402" si="961">IF(G395="x",H395+J395+L395+N395+O395+P395+Q395+S395+U395+V395,0)</f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14</v>
      </c>
      <c r="D396" s="21" t="str">
        <f>Spieltag!B383</f>
        <v>Senne Lynen (A)</v>
      </c>
      <c r="E396" s="12" t="str">
        <f>Spieltag!C383</f>
        <v>Mittelfeld</v>
      </c>
      <c r="F396" s="13" t="s">
        <v>354</v>
      </c>
      <c r="G396" s="14"/>
      <c r="H396" s="15">
        <f t="shared" si="954"/>
        <v>0</v>
      </c>
      <c r="I396" s="14"/>
      <c r="J396" s="15">
        <f t="shared" si="955"/>
        <v>0</v>
      </c>
      <c r="K396" s="14"/>
      <c r="L396" s="15">
        <f t="shared" si="956"/>
        <v>0</v>
      </c>
      <c r="M396" s="14"/>
      <c r="N396" s="15">
        <f t="shared" si="957"/>
        <v>0</v>
      </c>
      <c r="O396" s="16">
        <f t="shared" si="951"/>
        <v>0</v>
      </c>
      <c r="P396" s="16">
        <f t="shared" si="952"/>
        <v>-5</v>
      </c>
      <c r="Q396" s="16">
        <f t="shared" si="953"/>
        <v>-40</v>
      </c>
      <c r="R396" s="14"/>
      <c r="S396" s="15">
        <f t="shared" si="958"/>
        <v>0</v>
      </c>
      <c r="T396" s="14"/>
      <c r="U396" s="15">
        <f t="shared" si="959"/>
        <v>0</v>
      </c>
      <c r="V396" s="16">
        <f t="shared" si="960"/>
        <v>0</v>
      </c>
      <c r="W396" s="17">
        <f t="shared" si="961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18</v>
      </c>
      <c r="D397" s="21" t="str">
        <f>Spieltag!B384</f>
        <v>Naby Keita (A)</v>
      </c>
      <c r="E397" s="12" t="str">
        <f>Spieltag!C384</f>
        <v>Mittelfeld</v>
      </c>
      <c r="F397" s="13" t="s">
        <v>354</v>
      </c>
      <c r="G397" s="14"/>
      <c r="H397" s="15">
        <f t="shared" si="954"/>
        <v>0</v>
      </c>
      <c r="I397" s="14"/>
      <c r="J397" s="15">
        <f t="shared" si="955"/>
        <v>0</v>
      </c>
      <c r="K397" s="14"/>
      <c r="L397" s="15">
        <f t="shared" si="956"/>
        <v>0</v>
      </c>
      <c r="M397" s="14"/>
      <c r="N397" s="15">
        <f t="shared" si="957"/>
        <v>0</v>
      </c>
      <c r="O397" s="16">
        <f t="shared" si="951"/>
        <v>0</v>
      </c>
      <c r="P397" s="16">
        <f t="shared" si="952"/>
        <v>-5</v>
      </c>
      <c r="Q397" s="16">
        <f t="shared" si="953"/>
        <v>-40</v>
      </c>
      <c r="R397" s="14"/>
      <c r="S397" s="15">
        <f t="shared" si="958"/>
        <v>0</v>
      </c>
      <c r="T397" s="14"/>
      <c r="U397" s="15">
        <f t="shared" si="959"/>
        <v>0</v>
      </c>
      <c r="V397" s="16">
        <f t="shared" si="960"/>
        <v>0</v>
      </c>
      <c r="W397" s="17">
        <f t="shared" si="961"/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19</v>
      </c>
      <c r="D398" s="21" t="str">
        <f>Spieltag!B385</f>
        <v>Dikeni Salifou (A)</v>
      </c>
      <c r="E398" s="12" t="str">
        <f>Spieltag!C385</f>
        <v>Mittelfeld</v>
      </c>
      <c r="F398" s="13" t="s">
        <v>354</v>
      </c>
      <c r="G398" s="14"/>
      <c r="H398" s="15">
        <f t="shared" si="954"/>
        <v>0</v>
      </c>
      <c r="I398" s="14"/>
      <c r="J398" s="15">
        <f t="shared" si="955"/>
        <v>0</v>
      </c>
      <c r="K398" s="14"/>
      <c r="L398" s="15">
        <f t="shared" si="956"/>
        <v>0</v>
      </c>
      <c r="M398" s="14"/>
      <c r="N398" s="15">
        <f t="shared" si="957"/>
        <v>0</v>
      </c>
      <c r="O398" s="16">
        <f t="shared" si="951"/>
        <v>0</v>
      </c>
      <c r="P398" s="16">
        <f t="shared" si="952"/>
        <v>-5</v>
      </c>
      <c r="Q398" s="16">
        <f t="shared" si="953"/>
        <v>-40</v>
      </c>
      <c r="R398" s="14"/>
      <c r="S398" s="15">
        <f t="shared" si="958"/>
        <v>0</v>
      </c>
      <c r="T398" s="14"/>
      <c r="U398" s="15">
        <f t="shared" si="959"/>
        <v>0</v>
      </c>
      <c r="V398" s="16">
        <f t="shared" si="960"/>
        <v>0</v>
      </c>
      <c r="W398" s="17">
        <f t="shared" si="961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20</v>
      </c>
      <c r="D399" s="21" t="str">
        <f>Spieltag!B386</f>
        <v>Romano Schmid (A)</v>
      </c>
      <c r="E399" s="12" t="str">
        <f>Spieltag!C386</f>
        <v>Mittelfeld</v>
      </c>
      <c r="F399" s="13" t="s">
        <v>354</v>
      </c>
      <c r="G399" s="14"/>
      <c r="H399" s="15">
        <f t="shared" si="954"/>
        <v>0</v>
      </c>
      <c r="I399" s="14"/>
      <c r="J399" s="15">
        <f t="shared" si="955"/>
        <v>0</v>
      </c>
      <c r="K399" s="14"/>
      <c r="L399" s="15">
        <f t="shared" si="956"/>
        <v>0</v>
      </c>
      <c r="M399" s="14"/>
      <c r="N399" s="15">
        <f t="shared" si="957"/>
        <v>0</v>
      </c>
      <c r="O399" s="16">
        <f t="shared" si="951"/>
        <v>0</v>
      </c>
      <c r="P399" s="16">
        <f t="shared" si="952"/>
        <v>-5</v>
      </c>
      <c r="Q399" s="16">
        <f t="shared" si="953"/>
        <v>-40</v>
      </c>
      <c r="R399" s="14"/>
      <c r="S399" s="15">
        <f t="shared" si="958"/>
        <v>0</v>
      </c>
      <c r="T399" s="14"/>
      <c r="U399" s="15">
        <f t="shared" si="959"/>
        <v>0</v>
      </c>
      <c r="V399" s="16">
        <f t="shared" si="960"/>
        <v>0</v>
      </c>
      <c r="W399" s="17">
        <f t="shared" si="961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23</v>
      </c>
      <c r="D400" s="21" t="str">
        <f>Spieltag!B387</f>
        <v>Nicolai Rapp</v>
      </c>
      <c r="E400" s="12" t="str">
        <f>Spieltag!C387</f>
        <v>Mittelfeld</v>
      </c>
      <c r="F400" s="13" t="s">
        <v>354</v>
      </c>
      <c r="G400" s="14"/>
      <c r="H400" s="15">
        <f t="shared" si="954"/>
        <v>0</v>
      </c>
      <c r="I400" s="14"/>
      <c r="J400" s="15">
        <f t="shared" si="955"/>
        <v>0</v>
      </c>
      <c r="K400" s="14"/>
      <c r="L400" s="15">
        <f t="shared" si="956"/>
        <v>0</v>
      </c>
      <c r="M400" s="14"/>
      <c r="N400" s="15">
        <f t="shared" si="957"/>
        <v>0</v>
      </c>
      <c r="O400" s="16">
        <f t="shared" si="951"/>
        <v>0</v>
      </c>
      <c r="P400" s="16">
        <f t="shared" si="952"/>
        <v>-5</v>
      </c>
      <c r="Q400" s="16">
        <f t="shared" si="953"/>
        <v>-40</v>
      </c>
      <c r="R400" s="14"/>
      <c r="S400" s="15">
        <f t="shared" si="958"/>
        <v>0</v>
      </c>
      <c r="T400" s="14"/>
      <c r="U400" s="15">
        <f t="shared" si="959"/>
        <v>0</v>
      </c>
      <c r="V400" s="16">
        <f t="shared" si="960"/>
        <v>0</v>
      </c>
      <c r="W400" s="17">
        <f t="shared" si="96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28</v>
      </c>
      <c r="D401" s="21" t="str">
        <f>Spieltag!B388</f>
        <v>Ilia Gruev</v>
      </c>
      <c r="E401" s="12" t="str">
        <f>Spieltag!C388</f>
        <v>Mittelfeld</v>
      </c>
      <c r="F401" s="13" t="s">
        <v>354</v>
      </c>
      <c r="G401" s="14"/>
      <c r="H401" s="15">
        <f t="shared" si="954"/>
        <v>0</v>
      </c>
      <c r="I401" s="14"/>
      <c r="J401" s="15">
        <f t="shared" si="955"/>
        <v>0</v>
      </c>
      <c r="K401" s="14"/>
      <c r="L401" s="15">
        <f t="shared" si="956"/>
        <v>0</v>
      </c>
      <c r="M401" s="14"/>
      <c r="N401" s="15">
        <f t="shared" si="957"/>
        <v>0</v>
      </c>
      <c r="O401" s="16">
        <f t="shared" si="951"/>
        <v>0</v>
      </c>
      <c r="P401" s="16">
        <f t="shared" si="952"/>
        <v>-5</v>
      </c>
      <c r="Q401" s="16">
        <f t="shared" si="953"/>
        <v>-40</v>
      </c>
      <c r="R401" s="14"/>
      <c r="S401" s="15">
        <f t="shared" si="958"/>
        <v>0</v>
      </c>
      <c r="T401" s="14"/>
      <c r="U401" s="15">
        <f t="shared" si="959"/>
        <v>0</v>
      </c>
      <c r="V401" s="16">
        <f t="shared" si="960"/>
        <v>0</v>
      </c>
      <c r="W401" s="17">
        <f t="shared" si="961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34</v>
      </c>
      <c r="D402" s="21" t="str">
        <f>Spieltag!B389</f>
        <v>Manuel Mbom</v>
      </c>
      <c r="E402" s="12" t="str">
        <f>Spieltag!C389</f>
        <v>Mittelfeld</v>
      </c>
      <c r="F402" s="13" t="s">
        <v>354</v>
      </c>
      <c r="G402" s="14"/>
      <c r="H402" s="15">
        <f t="shared" si="954"/>
        <v>0</v>
      </c>
      <c r="I402" s="14"/>
      <c r="J402" s="15">
        <f t="shared" si="955"/>
        <v>0</v>
      </c>
      <c r="K402" s="14"/>
      <c r="L402" s="15">
        <f t="shared" si="956"/>
        <v>0</v>
      </c>
      <c r="M402" s="14"/>
      <c r="N402" s="15">
        <f t="shared" si="957"/>
        <v>0</v>
      </c>
      <c r="O402" s="16">
        <f t="shared" si="951"/>
        <v>0</v>
      </c>
      <c r="P402" s="16">
        <f t="shared" si="952"/>
        <v>-5</v>
      </c>
      <c r="Q402" s="16">
        <f t="shared" si="953"/>
        <v>-40</v>
      </c>
      <c r="R402" s="14"/>
      <c r="S402" s="15">
        <f t="shared" si="958"/>
        <v>0</v>
      </c>
      <c r="T402" s="14"/>
      <c r="U402" s="15">
        <f t="shared" si="959"/>
        <v>0</v>
      </c>
      <c r="V402" s="16">
        <f t="shared" si="960"/>
        <v>0</v>
      </c>
      <c r="W402" s="17">
        <f t="shared" si="961"/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7</v>
      </c>
      <c r="D403" s="21" t="str">
        <f>Spieltag!B390</f>
        <v>Marvin Ducksch</v>
      </c>
      <c r="E403" s="12" t="str">
        <f>Spieltag!C390</f>
        <v>Sturm</v>
      </c>
      <c r="F403" s="13" t="s">
        <v>354</v>
      </c>
      <c r="G403" s="14"/>
      <c r="H403" s="15">
        <f t="shared" ref="H403" si="962">IF(G403="x",10,0)</f>
        <v>0</v>
      </c>
      <c r="I403" s="14"/>
      <c r="J403" s="15">
        <f t="shared" ref="J403" si="963">IF((I403="x"),-10,0)</f>
        <v>0</v>
      </c>
      <c r="K403" s="14"/>
      <c r="L403" s="15">
        <f t="shared" ref="L403" si="964">IF((K403="x"),-20,0)</f>
        <v>0</v>
      </c>
      <c r="M403" s="14"/>
      <c r="N403" s="15">
        <f t="shared" ref="N403" si="965">IF((M403="x"),-30,0)</f>
        <v>0</v>
      </c>
      <c r="O403" s="16">
        <f t="shared" si="951"/>
        <v>0</v>
      </c>
      <c r="P403" s="16">
        <f t="shared" si="952"/>
        <v>-5</v>
      </c>
      <c r="Q403" s="16">
        <f t="shared" ref="Q403:Q409" si="966">IF(($Q$4&lt;&gt;0),$Q$4*-10,5)</f>
        <v>-40</v>
      </c>
      <c r="R403" s="14"/>
      <c r="S403" s="15">
        <f t="shared" ref="S403" si="967">R403*10</f>
        <v>0</v>
      </c>
      <c r="T403" s="14"/>
      <c r="U403" s="15">
        <f t="shared" ref="U403" si="968">T403*-15</f>
        <v>0</v>
      </c>
      <c r="V403" s="16">
        <f t="shared" ref="V403" si="969">IF(AND(R403=2),10,IF(R403=3,30,IF(R403=4,50,IF(R403=5,70,0))))</f>
        <v>0</v>
      </c>
      <c r="W403" s="17">
        <f t="shared" ref="W403" si="970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9</v>
      </c>
      <c r="D404" s="21" t="str">
        <f>Spieltag!B391</f>
        <v>Dawid Kownacki (A)</v>
      </c>
      <c r="E404" s="12" t="str">
        <f>Spieltag!C391</f>
        <v>Sturm</v>
      </c>
      <c r="F404" s="13" t="s">
        <v>354</v>
      </c>
      <c r="G404" s="14"/>
      <c r="H404" s="15">
        <f t="shared" ref="H404:H409" si="971">IF(G404="x",10,0)</f>
        <v>0</v>
      </c>
      <c r="I404" s="14"/>
      <c r="J404" s="15">
        <f t="shared" ref="J404:J409" si="972">IF((I404="x"),-10,0)</f>
        <v>0</v>
      </c>
      <c r="K404" s="14"/>
      <c r="L404" s="15">
        <f t="shared" ref="L404:L409" si="973">IF((K404="x"),-20,0)</f>
        <v>0</v>
      </c>
      <c r="M404" s="14"/>
      <c r="N404" s="15">
        <f t="shared" ref="N404:N409" si="974">IF((M404="x"),-30,0)</f>
        <v>0</v>
      </c>
      <c r="O404" s="16">
        <f t="shared" si="951"/>
        <v>0</v>
      </c>
      <c r="P404" s="16">
        <f t="shared" si="952"/>
        <v>-5</v>
      </c>
      <c r="Q404" s="16">
        <f t="shared" si="966"/>
        <v>-40</v>
      </c>
      <c r="R404" s="14"/>
      <c r="S404" s="15">
        <f t="shared" ref="S404:S409" si="975">R404*10</f>
        <v>0</v>
      </c>
      <c r="T404" s="14"/>
      <c r="U404" s="15">
        <f t="shared" ref="U404:U409" si="976">T404*-15</f>
        <v>0</v>
      </c>
      <c r="V404" s="16">
        <f t="shared" ref="V404:V409" si="977">IF(AND(R404=2),10,IF(R404=3,30,IF(R404=4,50,IF(R404=5,70,0))))</f>
        <v>0</v>
      </c>
      <c r="W404" s="17">
        <f t="shared" ref="W404:W409" si="978">IF(G404="x",H404+J404+L404+N404+O404+P404+Q404+S404+U404+V404,0)</f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11</v>
      </c>
      <c r="D405" s="21" t="str">
        <f>Spieltag!B392</f>
        <v>Niclas Füllkrug</v>
      </c>
      <c r="E405" s="12" t="str">
        <f>Spieltag!C392</f>
        <v>Sturm</v>
      </c>
      <c r="F405" s="13" t="s">
        <v>354</v>
      </c>
      <c r="G405" s="14"/>
      <c r="H405" s="15">
        <f t="shared" si="971"/>
        <v>0</v>
      </c>
      <c r="I405" s="14"/>
      <c r="J405" s="15">
        <f t="shared" si="972"/>
        <v>0</v>
      </c>
      <c r="K405" s="14"/>
      <c r="L405" s="15">
        <f t="shared" si="973"/>
        <v>0</v>
      </c>
      <c r="M405" s="14"/>
      <c r="N405" s="15">
        <f t="shared" si="974"/>
        <v>0</v>
      </c>
      <c r="O405" s="16">
        <f t="shared" si="951"/>
        <v>0</v>
      </c>
      <c r="P405" s="16">
        <f t="shared" si="952"/>
        <v>-5</v>
      </c>
      <c r="Q405" s="16">
        <f t="shared" si="966"/>
        <v>-40</v>
      </c>
      <c r="R405" s="14"/>
      <c r="S405" s="15">
        <f t="shared" si="975"/>
        <v>0</v>
      </c>
      <c r="T405" s="14"/>
      <c r="U405" s="15">
        <f t="shared" si="976"/>
        <v>0</v>
      </c>
      <c r="V405" s="16">
        <f t="shared" si="977"/>
        <v>0</v>
      </c>
      <c r="W405" s="17">
        <f t="shared" si="978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17</v>
      </c>
      <c r="D406" s="21" t="str">
        <f>Spieltag!B393</f>
        <v>Justin Njinmah</v>
      </c>
      <c r="E406" s="12" t="str">
        <f>Spieltag!C393</f>
        <v>Sturm</v>
      </c>
      <c r="F406" s="13" t="s">
        <v>354</v>
      </c>
      <c r="G406" s="14"/>
      <c r="H406" s="15">
        <f t="shared" si="971"/>
        <v>0</v>
      </c>
      <c r="I406" s="14"/>
      <c r="J406" s="15">
        <f t="shared" si="972"/>
        <v>0</v>
      </c>
      <c r="K406" s="14"/>
      <c r="L406" s="15">
        <f t="shared" si="973"/>
        <v>0</v>
      </c>
      <c r="M406" s="14"/>
      <c r="N406" s="15">
        <f t="shared" si="974"/>
        <v>0</v>
      </c>
      <c r="O406" s="16">
        <f t="shared" si="951"/>
        <v>0</v>
      </c>
      <c r="P406" s="16">
        <f t="shared" si="952"/>
        <v>-5</v>
      </c>
      <c r="Q406" s="16">
        <f t="shared" si="966"/>
        <v>-40</v>
      </c>
      <c r="R406" s="14"/>
      <c r="S406" s="15">
        <f t="shared" si="975"/>
        <v>0</v>
      </c>
      <c r="T406" s="14"/>
      <c r="U406" s="15">
        <f t="shared" si="976"/>
        <v>0</v>
      </c>
      <c r="V406" s="16">
        <f t="shared" si="977"/>
        <v>0</v>
      </c>
      <c r="W406" s="17">
        <f t="shared" si="978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24</v>
      </c>
      <c r="D407" s="21" t="str">
        <f>Spieltag!B394</f>
        <v>Oliver Burke (A)</v>
      </c>
      <c r="E407" s="12" t="str">
        <f>Spieltag!C394</f>
        <v>Sturm</v>
      </c>
      <c r="F407" s="13" t="s">
        <v>354</v>
      </c>
      <c r="G407" s="14"/>
      <c r="H407" s="15">
        <f t="shared" si="971"/>
        <v>0</v>
      </c>
      <c r="I407" s="14"/>
      <c r="J407" s="15">
        <f t="shared" si="972"/>
        <v>0</v>
      </c>
      <c r="K407" s="14"/>
      <c r="L407" s="15">
        <f t="shared" si="973"/>
        <v>0</v>
      </c>
      <c r="M407" s="14"/>
      <c r="N407" s="15">
        <f t="shared" si="974"/>
        <v>0</v>
      </c>
      <c r="O407" s="16">
        <f t="shared" si="951"/>
        <v>0</v>
      </c>
      <c r="P407" s="16">
        <f t="shared" si="952"/>
        <v>-5</v>
      </c>
      <c r="Q407" s="16">
        <f t="shared" si="966"/>
        <v>-40</v>
      </c>
      <c r="R407" s="14"/>
      <c r="S407" s="15">
        <f t="shared" si="975"/>
        <v>0</v>
      </c>
      <c r="T407" s="14"/>
      <c r="U407" s="15">
        <f t="shared" si="976"/>
        <v>0</v>
      </c>
      <c r="V407" s="16">
        <f t="shared" si="977"/>
        <v>0</v>
      </c>
      <c r="W407" s="17">
        <f t="shared" si="978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29</v>
      </c>
      <c r="D408" s="21" t="str">
        <f>Spieltag!B395</f>
        <v>Nick Woltemade</v>
      </c>
      <c r="E408" s="12" t="str">
        <f>Spieltag!C395</f>
        <v>Sturm</v>
      </c>
      <c r="F408" s="13" t="s">
        <v>354</v>
      </c>
      <c r="G408" s="14"/>
      <c r="H408" s="15">
        <f t="shared" ref="H408" si="979">IF(G408="x",10,0)</f>
        <v>0</v>
      </c>
      <c r="I408" s="14"/>
      <c r="J408" s="15">
        <f t="shared" ref="J408" si="980">IF((I408="x"),-10,0)</f>
        <v>0</v>
      </c>
      <c r="K408" s="14"/>
      <c r="L408" s="15">
        <f t="shared" ref="L408" si="981">IF((K408="x"),-20,0)</f>
        <v>0</v>
      </c>
      <c r="M408" s="14"/>
      <c r="N408" s="15">
        <f t="shared" ref="N408" si="982">IF((M408="x"),-30,0)</f>
        <v>0</v>
      </c>
      <c r="O408" s="16">
        <f t="shared" si="951"/>
        <v>0</v>
      </c>
      <c r="P408" s="16">
        <f t="shared" si="952"/>
        <v>-5</v>
      </c>
      <c r="Q408" s="16">
        <f t="shared" si="966"/>
        <v>-40</v>
      </c>
      <c r="R408" s="14"/>
      <c r="S408" s="15">
        <f t="shared" ref="S408" si="983">R408*10</f>
        <v>0</v>
      </c>
      <c r="T408" s="14"/>
      <c r="U408" s="15">
        <f t="shared" ref="U408" si="984">T408*-15</f>
        <v>0</v>
      </c>
      <c r="V408" s="16">
        <f t="shared" ref="V408" si="985">IF(AND(R408=2),10,IF(R408=3,30,IF(R408=4,50,IF(R408=5,70,0))))</f>
        <v>0</v>
      </c>
      <c r="W408" s="17">
        <f t="shared" ref="W408" si="986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Sturm</v>
      </c>
      <c r="F409" s="13" t="s">
        <v>354</v>
      </c>
      <c r="G409" s="14"/>
      <c r="H409" s="15">
        <f t="shared" si="971"/>
        <v>0</v>
      </c>
      <c r="I409" s="14"/>
      <c r="J409" s="15">
        <f t="shared" si="972"/>
        <v>0</v>
      </c>
      <c r="K409" s="14"/>
      <c r="L409" s="15">
        <f t="shared" si="973"/>
        <v>0</v>
      </c>
      <c r="M409" s="14"/>
      <c r="N409" s="15">
        <f t="shared" si="974"/>
        <v>0</v>
      </c>
      <c r="O409" s="16">
        <f t="shared" si="951"/>
        <v>0</v>
      </c>
      <c r="P409" s="16">
        <f t="shared" si="952"/>
        <v>-5</v>
      </c>
      <c r="Q409" s="16">
        <f t="shared" si="966"/>
        <v>-40</v>
      </c>
      <c r="R409" s="14"/>
      <c r="S409" s="15">
        <f t="shared" si="975"/>
        <v>0</v>
      </c>
      <c r="T409" s="14"/>
      <c r="U409" s="15">
        <f t="shared" si="976"/>
        <v>0</v>
      </c>
      <c r="V409" s="16">
        <f t="shared" si="977"/>
        <v>0</v>
      </c>
      <c r="W409" s="17">
        <f t="shared" si="978"/>
        <v>0</v>
      </c>
    </row>
    <row r="410" spans="1:23" s="144" customFormat="1" ht="17.25" hidden="1" thickBot="1" x14ac:dyDescent="0.25">
      <c r="A410" s="142"/>
      <c r="B410" s="143">
        <f>SUM(B411:B438)</f>
        <v>0</v>
      </c>
      <c r="C410" s="158"/>
      <c r="D410" s="221" t="s">
        <v>277</v>
      </c>
      <c r="E410" s="221"/>
      <c r="F410" s="221"/>
      <c r="G410" s="221"/>
      <c r="H410" s="221"/>
      <c r="I410" s="221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  <c r="T410" s="221"/>
      <c r="U410" s="221"/>
      <c r="V410" s="221"/>
      <c r="W410" s="222"/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1</v>
      </c>
      <c r="D411" s="21" t="str">
        <f>Spieltag!B398</f>
        <v>Manuel Riemann</v>
      </c>
      <c r="E411" s="12" t="str">
        <f>Spieltag!C398</f>
        <v>Torwart</v>
      </c>
      <c r="F411" s="13" t="s">
        <v>349</v>
      </c>
      <c r="G411" s="14"/>
      <c r="H411" s="15">
        <f t="shared" ref="H411" si="987">IF(G411="x",10,0)</f>
        <v>0</v>
      </c>
      <c r="I411" s="14"/>
      <c r="J411" s="15">
        <f t="shared" ref="J411" si="988">IF((I411="x"),-10,0)</f>
        <v>0</v>
      </c>
      <c r="K411" s="14"/>
      <c r="L411" s="15">
        <f t="shared" ref="L411" si="989">IF((K411="x"),-20,0)</f>
        <v>0</v>
      </c>
      <c r="M411" s="14"/>
      <c r="N411" s="15">
        <f t="shared" ref="N411" si="990">IF((M411="x"),-30,0)</f>
        <v>0</v>
      </c>
      <c r="O411" s="16">
        <f t="shared" ref="O411:O424" si="991">IF(AND($P$9&gt;$Q$9),20,IF($P$9=$Q$9,10,0))</f>
        <v>0</v>
      </c>
      <c r="P411" s="16">
        <f t="shared" ref="P411:P424" si="992">IF(($P$9&lt;&gt;0),$P$9*10,-5)</f>
        <v>-5</v>
      </c>
      <c r="Q411" s="16">
        <f>IF(($Q$9&lt;&gt;0),$Q$9*-10,20)</f>
        <v>-50</v>
      </c>
      <c r="R411" s="14"/>
      <c r="S411" s="15">
        <f>R411*20</f>
        <v>0</v>
      </c>
      <c r="T411" s="14"/>
      <c r="U411" s="15">
        <f t="shared" ref="U411" si="993">T411*-15</f>
        <v>0</v>
      </c>
      <c r="V411" s="16">
        <f t="shared" ref="V411" si="994">IF(AND(R411=2),10,IF(R411=3,30,IF(R411=4,50,IF(R411=5,70,0))))</f>
        <v>0</v>
      </c>
      <c r="W411" s="17">
        <f t="shared" ref="W411" si="995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21</v>
      </c>
      <c r="D412" s="21" t="str">
        <f>Spieltag!B399</f>
        <v>Michael Esser</v>
      </c>
      <c r="E412" s="12" t="str">
        <f>Spieltag!C399</f>
        <v>Torwart</v>
      </c>
      <c r="F412" s="13" t="s">
        <v>349</v>
      </c>
      <c r="G412" s="14"/>
      <c r="H412" s="15">
        <f t="shared" ref="H412" si="996">IF(G412="x",10,0)</f>
        <v>0</v>
      </c>
      <c r="I412" s="14"/>
      <c r="J412" s="15">
        <f t="shared" ref="J412" si="997">IF((I412="x"),-10,0)</f>
        <v>0</v>
      </c>
      <c r="K412" s="14"/>
      <c r="L412" s="15">
        <f t="shared" ref="L412" si="998">IF((K412="x"),-20,0)</f>
        <v>0</v>
      </c>
      <c r="M412" s="14"/>
      <c r="N412" s="15">
        <f t="shared" ref="N412" si="999">IF((M412="x"),-30,0)</f>
        <v>0</v>
      </c>
      <c r="O412" s="16">
        <f t="shared" si="991"/>
        <v>0</v>
      </c>
      <c r="P412" s="16">
        <f t="shared" si="992"/>
        <v>-5</v>
      </c>
      <c r="Q412" s="16">
        <f t="shared" ref="Q412" si="1000">IF(($Q$9&lt;&gt;0),$Q$9*-10,20)</f>
        <v>-50</v>
      </c>
      <c r="R412" s="14"/>
      <c r="S412" s="15">
        <f t="shared" ref="S412" si="1001">R412*20</f>
        <v>0</v>
      </c>
      <c r="T412" s="14"/>
      <c r="U412" s="15">
        <f t="shared" ref="U412" si="1002">T412*-15</f>
        <v>0</v>
      </c>
      <c r="V412" s="16">
        <f t="shared" ref="V412" si="1003">IF(AND(R412=2),10,IF(R412=3,30,IF(R412=4,50,IF(R412=5,70,0))))</f>
        <v>0</v>
      </c>
      <c r="W412" s="17">
        <f t="shared" ref="W412" si="100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2</v>
      </c>
      <c r="D413" s="21" t="str">
        <f>Spieltag!B401</f>
        <v>Cristian Gamboa (A)</v>
      </c>
      <c r="E413" s="12" t="str">
        <f>Spieltag!C401</f>
        <v>Abwehr</v>
      </c>
      <c r="F413" s="13" t="s">
        <v>349</v>
      </c>
      <c r="G413" s="14"/>
      <c r="H413" s="15">
        <f t="shared" ref="H413:H414" si="1005">IF(G413="x",10,0)</f>
        <v>0</v>
      </c>
      <c r="I413" s="14"/>
      <c r="J413" s="15">
        <f t="shared" ref="J413:J414" si="1006">IF((I413="x"),-10,0)</f>
        <v>0</v>
      </c>
      <c r="K413" s="14"/>
      <c r="L413" s="15">
        <f t="shared" ref="L413:L414" si="1007">IF((K413="x"),-20,0)</f>
        <v>0</v>
      </c>
      <c r="M413" s="14"/>
      <c r="N413" s="15">
        <f t="shared" ref="N413:N414" si="1008">IF((M413="x"),-30,0)</f>
        <v>0</v>
      </c>
      <c r="O413" s="16">
        <f t="shared" si="991"/>
        <v>0</v>
      </c>
      <c r="P413" s="16">
        <f t="shared" si="992"/>
        <v>-5</v>
      </c>
      <c r="Q413" s="16">
        <f t="shared" ref="Q413:Q424" si="1009">IF(($Q$9&lt;&gt;0),$Q$9*-10,15)</f>
        <v>-50</v>
      </c>
      <c r="R413" s="14"/>
      <c r="S413" s="15">
        <f t="shared" ref="S413:S414" si="1010">R413*15</f>
        <v>0</v>
      </c>
      <c r="T413" s="14"/>
      <c r="U413" s="15">
        <f t="shared" ref="U413:U414" si="1011">T413*-15</f>
        <v>0</v>
      </c>
      <c r="V413" s="16">
        <f t="shared" ref="V413:V414" si="1012">IF(AND(R413=2),10,IF(R413=3,30,IF(R413=4,50,IF(R413=5,70,0))))</f>
        <v>0</v>
      </c>
      <c r="W413" s="17">
        <f t="shared" ref="W413:W414" si="1013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3</v>
      </c>
      <c r="D414" s="21" t="str">
        <f>Spieltag!B402</f>
        <v>Danilo Soares (A)</v>
      </c>
      <c r="E414" s="12" t="str">
        <f>Spieltag!C402</f>
        <v>Abwehr</v>
      </c>
      <c r="F414" s="13" t="s">
        <v>349</v>
      </c>
      <c r="G414" s="14"/>
      <c r="H414" s="15">
        <f t="shared" si="1005"/>
        <v>0</v>
      </c>
      <c r="I414" s="14"/>
      <c r="J414" s="15">
        <f t="shared" si="1006"/>
        <v>0</v>
      </c>
      <c r="K414" s="14"/>
      <c r="L414" s="15">
        <f t="shared" si="1007"/>
        <v>0</v>
      </c>
      <c r="M414" s="14"/>
      <c r="N414" s="15">
        <f t="shared" si="1008"/>
        <v>0</v>
      </c>
      <c r="O414" s="16">
        <f t="shared" si="991"/>
        <v>0</v>
      </c>
      <c r="P414" s="16">
        <f t="shared" si="992"/>
        <v>-5</v>
      </c>
      <c r="Q414" s="16">
        <f t="shared" si="1009"/>
        <v>-50</v>
      </c>
      <c r="R414" s="14"/>
      <c r="S414" s="15">
        <f t="shared" si="1010"/>
        <v>0</v>
      </c>
      <c r="T414" s="14"/>
      <c r="U414" s="15">
        <f t="shared" si="1011"/>
        <v>0</v>
      </c>
      <c r="V414" s="16">
        <f t="shared" si="1012"/>
        <v>0</v>
      </c>
      <c r="W414" s="17">
        <f t="shared" si="1013"/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4</v>
      </c>
      <c r="D415" s="21" t="str">
        <f>Spieltag!B403</f>
        <v>Erhan Masovic (A)</v>
      </c>
      <c r="E415" s="12" t="str">
        <f>Spieltag!C403</f>
        <v>Abwehr</v>
      </c>
      <c r="F415" s="13" t="s">
        <v>349</v>
      </c>
      <c r="G415" s="14"/>
      <c r="H415" s="15">
        <f t="shared" ref="H415:H424" si="1014">IF(G415="x",10,0)</f>
        <v>0</v>
      </c>
      <c r="I415" s="14"/>
      <c r="J415" s="15">
        <f t="shared" ref="J415:J424" si="1015">IF((I415="x"),-10,0)</f>
        <v>0</v>
      </c>
      <c r="K415" s="14"/>
      <c r="L415" s="15">
        <f t="shared" ref="L415:L424" si="1016">IF((K415="x"),-20,0)</f>
        <v>0</v>
      </c>
      <c r="M415" s="14"/>
      <c r="N415" s="15">
        <f t="shared" ref="N415:N424" si="1017">IF((M415="x"),-30,0)</f>
        <v>0</v>
      </c>
      <c r="O415" s="16">
        <f t="shared" si="991"/>
        <v>0</v>
      </c>
      <c r="P415" s="16">
        <f t="shared" si="992"/>
        <v>-5</v>
      </c>
      <c r="Q415" s="16">
        <f t="shared" si="1009"/>
        <v>-50</v>
      </c>
      <c r="R415" s="14"/>
      <c r="S415" s="15">
        <f t="shared" ref="S415:S424" si="1018">R415*15</f>
        <v>0</v>
      </c>
      <c r="T415" s="14"/>
      <c r="U415" s="15">
        <f t="shared" ref="U415:U424" si="1019">T415*-15</f>
        <v>0</v>
      </c>
      <c r="V415" s="16">
        <f t="shared" ref="V415:V424" si="1020">IF(AND(R415=2),10,IF(R415=3,30,IF(R415=4,50,IF(R415=5,70,0))))</f>
        <v>0</v>
      </c>
      <c r="W415" s="17">
        <f t="shared" ref="W415:W424" si="1021"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5</v>
      </c>
      <c r="D416" s="21" t="str">
        <f>Spieltag!B404</f>
        <v>Bernardo (A)</v>
      </c>
      <c r="E416" s="12" t="str">
        <f>Spieltag!C404</f>
        <v>Abwehr</v>
      </c>
      <c r="F416" s="13" t="s">
        <v>349</v>
      </c>
      <c r="G416" s="14"/>
      <c r="H416" s="15">
        <f t="shared" si="1014"/>
        <v>0</v>
      </c>
      <c r="I416" s="14"/>
      <c r="J416" s="15">
        <f t="shared" si="1015"/>
        <v>0</v>
      </c>
      <c r="K416" s="14"/>
      <c r="L416" s="15">
        <f t="shared" si="1016"/>
        <v>0</v>
      </c>
      <c r="M416" s="14"/>
      <c r="N416" s="15">
        <f t="shared" si="1017"/>
        <v>0</v>
      </c>
      <c r="O416" s="16">
        <f t="shared" si="991"/>
        <v>0</v>
      </c>
      <c r="P416" s="16">
        <f t="shared" si="992"/>
        <v>-5</v>
      </c>
      <c r="Q416" s="16">
        <f t="shared" si="1009"/>
        <v>-50</v>
      </c>
      <c r="R416" s="14"/>
      <c r="S416" s="15">
        <f t="shared" si="1018"/>
        <v>0</v>
      </c>
      <c r="T416" s="14"/>
      <c r="U416" s="15">
        <f t="shared" si="1019"/>
        <v>0</v>
      </c>
      <c r="V416" s="16">
        <f t="shared" si="1020"/>
        <v>0</v>
      </c>
      <c r="W416" s="17">
        <f t="shared" si="1021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14</v>
      </c>
      <c r="D417" s="21" t="str">
        <f>Spieltag!B405</f>
        <v>Tim Oermann</v>
      </c>
      <c r="E417" s="12" t="str">
        <f>Spieltag!C405</f>
        <v>Abwehr</v>
      </c>
      <c r="F417" s="13" t="s">
        <v>349</v>
      </c>
      <c r="G417" s="14"/>
      <c r="H417" s="15">
        <f t="shared" ref="H417" si="1022">IF(G417="x",10,0)</f>
        <v>0</v>
      </c>
      <c r="I417" s="14"/>
      <c r="J417" s="15">
        <f t="shared" ref="J417" si="1023">IF((I417="x"),-10,0)</f>
        <v>0</v>
      </c>
      <c r="K417" s="14"/>
      <c r="L417" s="15">
        <f t="shared" ref="L417" si="1024">IF((K417="x"),-20,0)</f>
        <v>0</v>
      </c>
      <c r="M417" s="14"/>
      <c r="N417" s="15">
        <f t="shared" ref="N417" si="1025">IF((M417="x"),-30,0)</f>
        <v>0</v>
      </c>
      <c r="O417" s="16">
        <f t="shared" si="991"/>
        <v>0</v>
      </c>
      <c r="P417" s="16">
        <f t="shared" si="992"/>
        <v>-5</v>
      </c>
      <c r="Q417" s="16">
        <f t="shared" si="1009"/>
        <v>-50</v>
      </c>
      <c r="R417" s="14"/>
      <c r="S417" s="15">
        <f t="shared" ref="S417" si="1026">R417*15</f>
        <v>0</v>
      </c>
      <c r="T417" s="14"/>
      <c r="U417" s="15">
        <f t="shared" ref="U417" si="1027">T417*-15</f>
        <v>0</v>
      </c>
      <c r="V417" s="16">
        <f t="shared" ref="V417" si="1028">IF(AND(R417=2),10,IF(R417=3,30,IF(R417=4,50,IF(R417=5,70,0))))</f>
        <v>0</v>
      </c>
      <c r="W417" s="17">
        <f t="shared" ref="W417" si="1029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15</v>
      </c>
      <c r="D418" s="21" t="str">
        <f>Spieltag!B406</f>
        <v>Felix Passlack</v>
      </c>
      <c r="E418" s="12" t="str">
        <f>Spieltag!C406</f>
        <v>Abwehr</v>
      </c>
      <c r="F418" s="13" t="s">
        <v>349</v>
      </c>
      <c r="G418" s="14"/>
      <c r="H418" s="15">
        <f t="shared" si="1014"/>
        <v>0</v>
      </c>
      <c r="I418" s="14"/>
      <c r="J418" s="15">
        <f t="shared" si="1015"/>
        <v>0</v>
      </c>
      <c r="K418" s="14"/>
      <c r="L418" s="15">
        <f t="shared" si="1016"/>
        <v>0</v>
      </c>
      <c r="M418" s="14"/>
      <c r="N418" s="15">
        <f t="shared" si="1017"/>
        <v>0</v>
      </c>
      <c r="O418" s="16">
        <f t="shared" si="991"/>
        <v>0</v>
      </c>
      <c r="P418" s="16">
        <f t="shared" si="992"/>
        <v>-5</v>
      </c>
      <c r="Q418" s="16">
        <f t="shared" si="1009"/>
        <v>-50</v>
      </c>
      <c r="R418" s="14"/>
      <c r="S418" s="15">
        <f t="shared" si="1018"/>
        <v>0</v>
      </c>
      <c r="T418" s="14"/>
      <c r="U418" s="15">
        <f t="shared" si="1019"/>
        <v>0</v>
      </c>
      <c r="V418" s="16">
        <f t="shared" si="1020"/>
        <v>0</v>
      </c>
      <c r="W418" s="17">
        <f t="shared" si="1021"/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18</v>
      </c>
      <c r="D419" s="21" t="str">
        <f>Spieltag!B407</f>
        <v>Jordi Osei-Tutu (A)</v>
      </c>
      <c r="E419" s="12" t="str">
        <f>Spieltag!C407</f>
        <v>Abwehr</v>
      </c>
      <c r="F419" s="13" t="s">
        <v>349</v>
      </c>
      <c r="G419" s="14"/>
      <c r="H419" s="15">
        <f t="shared" si="1014"/>
        <v>0</v>
      </c>
      <c r="I419" s="14"/>
      <c r="J419" s="15">
        <f t="shared" si="1015"/>
        <v>0</v>
      </c>
      <c r="K419" s="14"/>
      <c r="L419" s="15">
        <f t="shared" si="1016"/>
        <v>0</v>
      </c>
      <c r="M419" s="14"/>
      <c r="N419" s="15">
        <f t="shared" si="1017"/>
        <v>0</v>
      </c>
      <c r="O419" s="16">
        <f t="shared" si="991"/>
        <v>0</v>
      </c>
      <c r="P419" s="16">
        <f t="shared" si="992"/>
        <v>-5</v>
      </c>
      <c r="Q419" s="16">
        <f t="shared" si="1009"/>
        <v>-50</v>
      </c>
      <c r="R419" s="14"/>
      <c r="S419" s="15">
        <f t="shared" si="1018"/>
        <v>0</v>
      </c>
      <c r="T419" s="14"/>
      <c r="U419" s="15">
        <f t="shared" si="1019"/>
        <v>0</v>
      </c>
      <c r="V419" s="16">
        <f t="shared" si="1020"/>
        <v>0</v>
      </c>
      <c r="W419" s="17">
        <f t="shared" si="102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20</v>
      </c>
      <c r="D420" s="21" t="str">
        <f>Spieltag!B408</f>
        <v>Ivan Ordets (A)</v>
      </c>
      <c r="E420" s="12" t="str">
        <f>Spieltag!C408</f>
        <v>Abwehr</v>
      </c>
      <c r="F420" s="13" t="s">
        <v>349</v>
      </c>
      <c r="G420" s="14"/>
      <c r="H420" s="15">
        <f t="shared" si="1014"/>
        <v>0</v>
      </c>
      <c r="I420" s="14"/>
      <c r="J420" s="15">
        <f t="shared" si="1015"/>
        <v>0</v>
      </c>
      <c r="K420" s="14"/>
      <c r="L420" s="15">
        <f t="shared" si="1016"/>
        <v>0</v>
      </c>
      <c r="M420" s="14"/>
      <c r="N420" s="15">
        <f t="shared" si="1017"/>
        <v>0</v>
      </c>
      <c r="O420" s="16">
        <f t="shared" si="991"/>
        <v>0</v>
      </c>
      <c r="P420" s="16">
        <f t="shared" si="992"/>
        <v>-5</v>
      </c>
      <c r="Q420" s="16">
        <f t="shared" si="1009"/>
        <v>-50</v>
      </c>
      <c r="R420" s="14"/>
      <c r="S420" s="15">
        <f t="shared" si="1018"/>
        <v>0</v>
      </c>
      <c r="T420" s="14"/>
      <c r="U420" s="15">
        <f t="shared" si="1019"/>
        <v>0</v>
      </c>
      <c r="V420" s="16">
        <f t="shared" si="1020"/>
        <v>0</v>
      </c>
      <c r="W420" s="17">
        <f t="shared" si="1021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25</v>
      </c>
      <c r="D421" s="21" t="str">
        <f>Spieltag!B409</f>
        <v>Mohammed Tolba</v>
      </c>
      <c r="E421" s="12" t="str">
        <f>Spieltag!C409</f>
        <v>Abwehr</v>
      </c>
      <c r="F421" s="13" t="s">
        <v>349</v>
      </c>
      <c r="G421" s="14"/>
      <c r="H421" s="15">
        <f t="shared" si="1014"/>
        <v>0</v>
      </c>
      <c r="I421" s="14"/>
      <c r="J421" s="15">
        <f t="shared" si="1015"/>
        <v>0</v>
      </c>
      <c r="K421" s="14"/>
      <c r="L421" s="15">
        <f t="shared" si="1016"/>
        <v>0</v>
      </c>
      <c r="M421" s="14"/>
      <c r="N421" s="15">
        <f t="shared" si="1017"/>
        <v>0</v>
      </c>
      <c r="O421" s="16">
        <f t="shared" si="991"/>
        <v>0</v>
      </c>
      <c r="P421" s="16">
        <f t="shared" si="992"/>
        <v>-5</v>
      </c>
      <c r="Q421" s="16">
        <f t="shared" si="1009"/>
        <v>-50</v>
      </c>
      <c r="R421" s="14"/>
      <c r="S421" s="15">
        <f t="shared" si="1018"/>
        <v>0</v>
      </c>
      <c r="T421" s="14"/>
      <c r="U421" s="15">
        <f t="shared" si="1019"/>
        <v>0</v>
      </c>
      <c r="V421" s="16">
        <f t="shared" si="1020"/>
        <v>0</v>
      </c>
      <c r="W421" s="17">
        <f t="shared" si="1021"/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30</v>
      </c>
      <c r="D422" s="21" t="str">
        <f>Spieltag!B410</f>
        <v>Moritz Römling</v>
      </c>
      <c r="E422" s="12" t="str">
        <f>Spieltag!C410</f>
        <v>Abwehr</v>
      </c>
      <c r="F422" s="13" t="s">
        <v>349</v>
      </c>
      <c r="G422" s="14"/>
      <c r="H422" s="15">
        <f t="shared" ref="H422:H423" si="1030">IF(G422="x",10,0)</f>
        <v>0</v>
      </c>
      <c r="I422" s="14"/>
      <c r="J422" s="15">
        <f t="shared" ref="J422:J423" si="1031">IF((I422="x"),-10,0)</f>
        <v>0</v>
      </c>
      <c r="K422" s="14"/>
      <c r="L422" s="15">
        <f t="shared" ref="L422:L423" si="1032">IF((K422="x"),-20,0)</f>
        <v>0</v>
      </c>
      <c r="M422" s="14"/>
      <c r="N422" s="15">
        <f t="shared" ref="N422:N423" si="1033">IF((M422="x"),-30,0)</f>
        <v>0</v>
      </c>
      <c r="O422" s="16">
        <f t="shared" si="991"/>
        <v>0</v>
      </c>
      <c r="P422" s="16">
        <f t="shared" si="992"/>
        <v>-5</v>
      </c>
      <c r="Q422" s="16">
        <f t="shared" si="1009"/>
        <v>-50</v>
      </c>
      <c r="R422" s="14"/>
      <c r="S422" s="15">
        <f t="shared" ref="S422:S423" si="1034">R422*15</f>
        <v>0</v>
      </c>
      <c r="T422" s="14"/>
      <c r="U422" s="15">
        <f t="shared" ref="U422:U423" si="1035">T422*-15</f>
        <v>0</v>
      </c>
      <c r="V422" s="16">
        <f t="shared" ref="V422:V423" si="1036">IF(AND(R422=2),10,IF(R422=3,30,IF(R422=4,50,IF(R422=5,70,0))))</f>
        <v>0</v>
      </c>
      <c r="W422" s="17">
        <f t="shared" ref="W422:W423" si="103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41</v>
      </c>
      <c r="D423" s="21" t="str">
        <f>Spieltag!B411</f>
        <v>Noah Loosli (A)</v>
      </c>
      <c r="E423" s="12" t="str">
        <f>Spieltag!C411</f>
        <v>Abwehr</v>
      </c>
      <c r="F423" s="13" t="s">
        <v>349</v>
      </c>
      <c r="G423" s="14"/>
      <c r="H423" s="15">
        <f t="shared" si="1030"/>
        <v>0</v>
      </c>
      <c r="I423" s="14"/>
      <c r="J423" s="15">
        <f t="shared" si="1031"/>
        <v>0</v>
      </c>
      <c r="K423" s="14"/>
      <c r="L423" s="15">
        <f t="shared" si="1032"/>
        <v>0</v>
      </c>
      <c r="M423" s="14"/>
      <c r="N423" s="15">
        <f t="shared" si="1033"/>
        <v>0</v>
      </c>
      <c r="O423" s="16">
        <f t="shared" si="991"/>
        <v>0</v>
      </c>
      <c r="P423" s="16">
        <f t="shared" si="992"/>
        <v>-5</v>
      </c>
      <c r="Q423" s="16">
        <f t="shared" si="1009"/>
        <v>-50</v>
      </c>
      <c r="R423" s="14"/>
      <c r="S423" s="15">
        <f t="shared" si="1034"/>
        <v>0</v>
      </c>
      <c r="T423" s="14"/>
      <c r="U423" s="15">
        <f t="shared" si="1035"/>
        <v>0</v>
      </c>
      <c r="V423" s="16">
        <f t="shared" si="1036"/>
        <v>0</v>
      </c>
      <c r="W423" s="17">
        <f t="shared" si="1037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0</v>
      </c>
      <c r="D424" s="21" t="str">
        <f>Spieltag!B412</f>
        <v>Maximilian Wittek</v>
      </c>
      <c r="E424" s="12" t="str">
        <f>Spieltag!C412</f>
        <v>Abwehr</v>
      </c>
      <c r="F424" s="13" t="s">
        <v>349</v>
      </c>
      <c r="G424" s="14"/>
      <c r="H424" s="15">
        <f t="shared" si="1014"/>
        <v>0</v>
      </c>
      <c r="I424" s="14"/>
      <c r="J424" s="15">
        <f t="shared" si="1015"/>
        <v>0</v>
      </c>
      <c r="K424" s="14"/>
      <c r="L424" s="15">
        <f t="shared" si="1016"/>
        <v>0</v>
      </c>
      <c r="M424" s="14"/>
      <c r="N424" s="15">
        <f t="shared" si="1017"/>
        <v>0</v>
      </c>
      <c r="O424" s="16">
        <f t="shared" si="991"/>
        <v>0</v>
      </c>
      <c r="P424" s="16">
        <f t="shared" si="992"/>
        <v>-5</v>
      </c>
      <c r="Q424" s="16">
        <f t="shared" si="1009"/>
        <v>-50</v>
      </c>
      <c r="R424" s="14"/>
      <c r="S424" s="15">
        <f t="shared" si="1018"/>
        <v>0</v>
      </c>
      <c r="T424" s="14"/>
      <c r="U424" s="15">
        <f t="shared" si="1019"/>
        <v>0</v>
      </c>
      <c r="V424" s="16">
        <f t="shared" si="1020"/>
        <v>0</v>
      </c>
      <c r="W424" s="17">
        <f t="shared" si="1021"/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6</v>
      </c>
      <c r="D425" s="21" t="str">
        <f>Spieltag!B413</f>
        <v>Patrick Osterhage</v>
      </c>
      <c r="E425" s="12" t="str">
        <f>Spieltag!C413</f>
        <v>Mittelfeld</v>
      </c>
      <c r="F425" s="13" t="s">
        <v>349</v>
      </c>
      <c r="G425" s="14"/>
      <c r="H425" s="15">
        <f t="shared" ref="H425" si="1038">IF(G425="x",10,0)</f>
        <v>0</v>
      </c>
      <c r="I425" s="14"/>
      <c r="J425" s="15">
        <f t="shared" ref="J425" si="1039">IF((I425="x"),-10,0)</f>
        <v>0</v>
      </c>
      <c r="K425" s="14"/>
      <c r="L425" s="15">
        <f t="shared" ref="L425" si="1040">IF((K425="x"),-20,0)</f>
        <v>0</v>
      </c>
      <c r="M425" s="14"/>
      <c r="N425" s="15">
        <f t="shared" ref="N425" si="1041">IF((M425="x"),-30,0)</f>
        <v>0</v>
      </c>
      <c r="O425" s="16">
        <f t="shared" ref="O425:O438" si="1042">IF(AND($P$9&gt;$Q$9),20,IF($P$9=$Q$9,10,0))</f>
        <v>0</v>
      </c>
      <c r="P425" s="16">
        <f t="shared" ref="P425:P438" si="1043">IF(($P$9&lt;&gt;0),$P$9*10,-5)</f>
        <v>-5</v>
      </c>
      <c r="Q425" s="16">
        <f t="shared" ref="Q425:Q433" si="1044">IF(($Q$9&lt;&gt;0),$Q$9*-10,10)</f>
        <v>-50</v>
      </c>
      <c r="R425" s="14"/>
      <c r="S425" s="15">
        <f t="shared" ref="S425" si="1045">R425*10</f>
        <v>0</v>
      </c>
      <c r="T425" s="14"/>
      <c r="U425" s="15">
        <f t="shared" ref="U425" si="1046">T425*-15</f>
        <v>0</v>
      </c>
      <c r="V425" s="16">
        <f t="shared" ref="V425" si="1047">IF(AND(R425=2),10,IF(R425=3,30,IF(R425=4,50,IF(R425=5,70,0))))</f>
        <v>0</v>
      </c>
      <c r="W425" s="17">
        <f t="shared" ref="W425" si="1048">IF(G425="x",H425+J425+L425+N425+O425+P425+Q425+S425+U425+V425,0)</f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7</v>
      </c>
      <c r="D426" s="21" t="str">
        <f>Spieltag!B414</f>
        <v>Kevin Stöger (A)</v>
      </c>
      <c r="E426" s="12" t="str">
        <f>Spieltag!C414</f>
        <v>Mittelfeld</v>
      </c>
      <c r="F426" s="13" t="s">
        <v>349</v>
      </c>
      <c r="G426" s="14"/>
      <c r="H426" s="15">
        <f t="shared" ref="H426:H433" si="1049">IF(G426="x",10,0)</f>
        <v>0</v>
      </c>
      <c r="I426" s="14"/>
      <c r="J426" s="15">
        <f t="shared" ref="J426:J433" si="1050">IF((I426="x"),-10,0)</f>
        <v>0</v>
      </c>
      <c r="K426" s="14"/>
      <c r="L426" s="15">
        <f t="shared" ref="L426:L433" si="1051">IF((K426="x"),-20,0)</f>
        <v>0</v>
      </c>
      <c r="M426" s="14"/>
      <c r="N426" s="15">
        <f t="shared" ref="N426:N433" si="1052">IF((M426="x"),-30,0)</f>
        <v>0</v>
      </c>
      <c r="O426" s="16">
        <f t="shared" si="1042"/>
        <v>0</v>
      </c>
      <c r="P426" s="16">
        <f t="shared" si="1043"/>
        <v>-5</v>
      </c>
      <c r="Q426" s="16">
        <f t="shared" si="1044"/>
        <v>-50</v>
      </c>
      <c r="R426" s="14"/>
      <c r="S426" s="15">
        <f t="shared" ref="S426:S433" si="1053">R426*10</f>
        <v>0</v>
      </c>
      <c r="T426" s="14"/>
      <c r="U426" s="15">
        <f t="shared" ref="U426:U433" si="1054">T426*-15</f>
        <v>0</v>
      </c>
      <c r="V426" s="16">
        <f t="shared" ref="V426:V433" si="1055">IF(AND(R426=2),10,IF(R426=3,30,IF(R426=4,50,IF(R426=5,70,0))))</f>
        <v>0</v>
      </c>
      <c r="W426" s="17">
        <f t="shared" ref="W426:W433" si="1056"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8</v>
      </c>
      <c r="D427" s="21" t="str">
        <f>Spieltag!B415</f>
        <v>Anthony Losilia (A)</v>
      </c>
      <c r="E427" s="12" t="str">
        <f>Spieltag!C415</f>
        <v>Mittelfeld</v>
      </c>
      <c r="F427" s="13" t="s">
        <v>349</v>
      </c>
      <c r="G427" s="14"/>
      <c r="H427" s="15">
        <f t="shared" si="1049"/>
        <v>0</v>
      </c>
      <c r="I427" s="14"/>
      <c r="J427" s="15">
        <f t="shared" si="1050"/>
        <v>0</v>
      </c>
      <c r="K427" s="14"/>
      <c r="L427" s="15">
        <f t="shared" si="1051"/>
        <v>0</v>
      </c>
      <c r="M427" s="14"/>
      <c r="N427" s="15">
        <f t="shared" si="1052"/>
        <v>0</v>
      </c>
      <c r="O427" s="16">
        <f t="shared" si="1042"/>
        <v>0</v>
      </c>
      <c r="P427" s="16">
        <f t="shared" si="1043"/>
        <v>-5</v>
      </c>
      <c r="Q427" s="16">
        <f t="shared" si="1044"/>
        <v>-50</v>
      </c>
      <c r="R427" s="14"/>
      <c r="S427" s="15">
        <f t="shared" si="1053"/>
        <v>0</v>
      </c>
      <c r="T427" s="14"/>
      <c r="U427" s="15">
        <f t="shared" si="1054"/>
        <v>0</v>
      </c>
      <c r="V427" s="16">
        <f t="shared" si="1055"/>
        <v>0</v>
      </c>
      <c r="W427" s="17">
        <f t="shared" si="1056"/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10</v>
      </c>
      <c r="D428" s="21" t="str">
        <f>Spieltag!B416</f>
        <v>Philipp Förster</v>
      </c>
      <c r="E428" s="12" t="str">
        <f>Spieltag!C416</f>
        <v>Mittelfeld</v>
      </c>
      <c r="F428" s="13" t="s">
        <v>349</v>
      </c>
      <c r="G428" s="14"/>
      <c r="H428" s="15">
        <f t="shared" si="1049"/>
        <v>0</v>
      </c>
      <c r="I428" s="14"/>
      <c r="J428" s="15">
        <f t="shared" si="1050"/>
        <v>0</v>
      </c>
      <c r="K428" s="14"/>
      <c r="L428" s="15">
        <f t="shared" si="1051"/>
        <v>0</v>
      </c>
      <c r="M428" s="14"/>
      <c r="N428" s="15">
        <f t="shared" si="1052"/>
        <v>0</v>
      </c>
      <c r="O428" s="16">
        <f t="shared" si="1042"/>
        <v>0</v>
      </c>
      <c r="P428" s="16">
        <f t="shared" si="1043"/>
        <v>-5</v>
      </c>
      <c r="Q428" s="16">
        <f t="shared" si="1044"/>
        <v>-50</v>
      </c>
      <c r="R428" s="14"/>
      <c r="S428" s="15">
        <f t="shared" si="1053"/>
        <v>0</v>
      </c>
      <c r="T428" s="14"/>
      <c r="U428" s="15">
        <f t="shared" si="1054"/>
        <v>0</v>
      </c>
      <c r="V428" s="16">
        <f t="shared" si="1055"/>
        <v>0</v>
      </c>
      <c r="W428" s="17">
        <f t="shared" si="1056"/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11</v>
      </c>
      <c r="D429" s="21" t="str">
        <f>Spieltag!B417</f>
        <v>Takuma Asano (A)</v>
      </c>
      <c r="E429" s="12" t="str">
        <f>Spieltag!C417</f>
        <v>Mittelfeld</v>
      </c>
      <c r="F429" s="13" t="s">
        <v>349</v>
      </c>
      <c r="G429" s="14"/>
      <c r="H429" s="15">
        <f t="shared" si="1049"/>
        <v>0</v>
      </c>
      <c r="I429" s="14"/>
      <c r="J429" s="15">
        <f t="shared" si="1050"/>
        <v>0</v>
      </c>
      <c r="K429" s="14"/>
      <c r="L429" s="15">
        <f t="shared" si="1051"/>
        <v>0</v>
      </c>
      <c r="M429" s="14"/>
      <c r="N429" s="15">
        <f t="shared" si="1052"/>
        <v>0</v>
      </c>
      <c r="O429" s="16">
        <f t="shared" si="1042"/>
        <v>0</v>
      </c>
      <c r="P429" s="16">
        <f t="shared" si="1043"/>
        <v>-5</v>
      </c>
      <c r="Q429" s="16">
        <f t="shared" si="1044"/>
        <v>-50</v>
      </c>
      <c r="R429" s="14"/>
      <c r="S429" s="15">
        <f t="shared" si="1053"/>
        <v>0</v>
      </c>
      <c r="T429" s="14"/>
      <c r="U429" s="15">
        <f t="shared" si="1054"/>
        <v>0</v>
      </c>
      <c r="V429" s="16">
        <f t="shared" si="1055"/>
        <v>0</v>
      </c>
      <c r="W429" s="17">
        <f t="shared" si="1056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13</v>
      </c>
      <c r="D430" s="21" t="str">
        <f>Spieltag!B418</f>
        <v>Lukas Daschner</v>
      </c>
      <c r="E430" s="12" t="str">
        <f>Spieltag!C418</f>
        <v>Mittelfeld</v>
      </c>
      <c r="F430" s="13" t="s">
        <v>349</v>
      </c>
      <c r="G430" s="14"/>
      <c r="H430" s="15">
        <f t="shared" si="1049"/>
        <v>0</v>
      </c>
      <c r="I430" s="14"/>
      <c r="J430" s="15">
        <f t="shared" si="1050"/>
        <v>0</v>
      </c>
      <c r="K430" s="14"/>
      <c r="L430" s="15">
        <f t="shared" si="1051"/>
        <v>0</v>
      </c>
      <c r="M430" s="14"/>
      <c r="N430" s="15">
        <f t="shared" si="1052"/>
        <v>0</v>
      </c>
      <c r="O430" s="16">
        <f t="shared" si="1042"/>
        <v>0</v>
      </c>
      <c r="P430" s="16">
        <f t="shared" si="1043"/>
        <v>-5</v>
      </c>
      <c r="Q430" s="16">
        <f t="shared" si="1044"/>
        <v>-50</v>
      </c>
      <c r="R430" s="14"/>
      <c r="S430" s="15">
        <f t="shared" si="1053"/>
        <v>0</v>
      </c>
      <c r="T430" s="14"/>
      <c r="U430" s="15">
        <f t="shared" si="1054"/>
        <v>0</v>
      </c>
      <c r="V430" s="16">
        <f t="shared" si="1055"/>
        <v>0</v>
      </c>
      <c r="W430" s="17">
        <f t="shared" si="1056"/>
        <v>0</v>
      </c>
    </row>
    <row r="431" spans="1:23" ht="10.5" hidden="1" customHeight="1" x14ac:dyDescent="0.2">
      <c r="A431" s="11"/>
      <c r="B431" s="149">
        <f>COUNTA(Spieltag!K419:AA419)</f>
        <v>0</v>
      </c>
      <c r="C431" s="166">
        <f>Spieltag!A419</f>
        <v>19</v>
      </c>
      <c r="D431" s="21" t="str">
        <f>Spieltag!B419</f>
        <v>Matus Bero (A)</v>
      </c>
      <c r="E431" s="12" t="str">
        <f>Spieltag!C419</f>
        <v>Mittelfeld</v>
      </c>
      <c r="F431" s="13" t="s">
        <v>349</v>
      </c>
      <c r="G431" s="14"/>
      <c r="H431" s="15">
        <f t="shared" si="1049"/>
        <v>0</v>
      </c>
      <c r="I431" s="14"/>
      <c r="J431" s="15">
        <f t="shared" si="1050"/>
        <v>0</v>
      </c>
      <c r="K431" s="14"/>
      <c r="L431" s="15">
        <f t="shared" si="1051"/>
        <v>0</v>
      </c>
      <c r="M431" s="14"/>
      <c r="N431" s="15">
        <f t="shared" si="1052"/>
        <v>0</v>
      </c>
      <c r="O431" s="16">
        <f t="shared" si="1042"/>
        <v>0</v>
      </c>
      <c r="P431" s="16">
        <f t="shared" si="1043"/>
        <v>-5</v>
      </c>
      <c r="Q431" s="16">
        <f t="shared" si="1044"/>
        <v>-50</v>
      </c>
      <c r="R431" s="14"/>
      <c r="S431" s="15">
        <f t="shared" si="1053"/>
        <v>0</v>
      </c>
      <c r="T431" s="14"/>
      <c r="U431" s="15">
        <f t="shared" si="1054"/>
        <v>0</v>
      </c>
      <c r="V431" s="16">
        <f t="shared" si="1055"/>
        <v>0</v>
      </c>
      <c r="W431" s="17">
        <f t="shared" si="1056"/>
        <v>0</v>
      </c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24</v>
      </c>
      <c r="D432" s="21" t="str">
        <f>Spieltag!B420</f>
        <v>Mats Pannewig</v>
      </c>
      <c r="E432" s="12" t="str">
        <f>Spieltag!C420</f>
        <v>Mittelfeld</v>
      </c>
      <c r="F432" s="13" t="s">
        <v>349</v>
      </c>
      <c r="G432" s="14"/>
      <c r="H432" s="15">
        <f t="shared" ref="H432" si="1057">IF(G432="x",10,0)</f>
        <v>0</v>
      </c>
      <c r="I432" s="14"/>
      <c r="J432" s="15">
        <f t="shared" ref="J432" si="1058">IF((I432="x"),-10,0)</f>
        <v>0</v>
      </c>
      <c r="K432" s="14"/>
      <c r="L432" s="15">
        <f t="shared" ref="L432" si="1059">IF((K432="x"),-20,0)</f>
        <v>0</v>
      </c>
      <c r="M432" s="14"/>
      <c r="N432" s="15">
        <f t="shared" ref="N432" si="1060">IF((M432="x"),-30,0)</f>
        <v>0</v>
      </c>
      <c r="O432" s="16">
        <f t="shared" si="1042"/>
        <v>0</v>
      </c>
      <c r="P432" s="16">
        <f t="shared" si="1043"/>
        <v>-5</v>
      </c>
      <c r="Q432" s="16">
        <f t="shared" si="1044"/>
        <v>-50</v>
      </c>
      <c r="R432" s="14"/>
      <c r="S432" s="15">
        <f t="shared" ref="S432" si="1061">R432*10</f>
        <v>0</v>
      </c>
      <c r="T432" s="14"/>
      <c r="U432" s="15">
        <f t="shared" ref="U432" si="1062">T432*-15</f>
        <v>0</v>
      </c>
      <c r="V432" s="16">
        <f t="shared" ref="V432" si="1063">IF(AND(R432=2),10,IF(R432=3,30,IF(R432=4,50,IF(R432=5,70,0))))</f>
        <v>0</v>
      </c>
      <c r="W432" s="17">
        <f t="shared" ref="W432" si="106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27</v>
      </c>
      <c r="D433" s="21" t="str">
        <f>Spieltag!B421</f>
        <v>Moritz Kwarteng</v>
      </c>
      <c r="E433" s="12" t="str">
        <f>Spieltag!C421</f>
        <v>Mittelfeld</v>
      </c>
      <c r="F433" s="13" t="s">
        <v>349</v>
      </c>
      <c r="G433" s="14"/>
      <c r="H433" s="15">
        <f t="shared" si="1049"/>
        <v>0</v>
      </c>
      <c r="I433" s="14"/>
      <c r="J433" s="15">
        <f t="shared" si="1050"/>
        <v>0</v>
      </c>
      <c r="K433" s="14"/>
      <c r="L433" s="15">
        <f t="shared" si="1051"/>
        <v>0</v>
      </c>
      <c r="M433" s="14"/>
      <c r="N433" s="15">
        <f t="shared" si="1052"/>
        <v>0</v>
      </c>
      <c r="O433" s="16">
        <f t="shared" si="1042"/>
        <v>0</v>
      </c>
      <c r="P433" s="16">
        <f t="shared" si="1043"/>
        <v>-5</v>
      </c>
      <c r="Q433" s="16">
        <f t="shared" si="1044"/>
        <v>-50</v>
      </c>
      <c r="R433" s="14"/>
      <c r="S433" s="15">
        <f t="shared" si="1053"/>
        <v>0</v>
      </c>
      <c r="T433" s="14"/>
      <c r="U433" s="15">
        <f t="shared" si="1054"/>
        <v>0</v>
      </c>
      <c r="V433" s="16">
        <f t="shared" si="1055"/>
        <v>0</v>
      </c>
      <c r="W433" s="17">
        <f t="shared" si="1056"/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9</v>
      </c>
      <c r="D434" s="21" t="str">
        <f>Spieltag!B422</f>
        <v>Simon Zoller</v>
      </c>
      <c r="E434" s="12" t="str">
        <f>Spieltag!C422</f>
        <v>Sturm</v>
      </c>
      <c r="F434" s="13" t="s">
        <v>349</v>
      </c>
      <c r="G434" s="14"/>
      <c r="H434" s="15">
        <f>IF(G434="x",10,0)</f>
        <v>0</v>
      </c>
      <c r="I434" s="14"/>
      <c r="J434" s="15">
        <f>IF((I434="x"),-10,0)</f>
        <v>0</v>
      </c>
      <c r="K434" s="14"/>
      <c r="L434" s="15">
        <f>IF((K434="x"),-20,0)</f>
        <v>0</v>
      </c>
      <c r="M434" s="14"/>
      <c r="N434" s="15">
        <f>IF((M434="x"),-30,0)</f>
        <v>0</v>
      </c>
      <c r="O434" s="16">
        <f t="shared" si="1042"/>
        <v>0</v>
      </c>
      <c r="P434" s="16">
        <f t="shared" si="1043"/>
        <v>-5</v>
      </c>
      <c r="Q434" s="16">
        <f>IF(($Q$9&lt;&gt;0),$Q$9*-10,5)</f>
        <v>-50</v>
      </c>
      <c r="R434" s="14"/>
      <c r="S434" s="15">
        <f>R434*10</f>
        <v>0</v>
      </c>
      <c r="T434" s="14"/>
      <c r="U434" s="15">
        <f>T434*-15</f>
        <v>0</v>
      </c>
      <c r="V434" s="16">
        <f>IF(AND(R434=2),10,IF(R434=3,30,IF(R434=4,50,IF(R434=5,70,0))))</f>
        <v>0</v>
      </c>
      <c r="W434" s="17">
        <f>IF(G434="x",H434+J434+L434+N434+O434+P434+Q434+S434+U434+V434,0)</f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22</v>
      </c>
      <c r="D435" s="21" t="str">
        <f>Spieltag!B423</f>
        <v>Christopher Antwi-Adjei</v>
      </c>
      <c r="E435" s="12" t="str">
        <f>Spieltag!C423</f>
        <v>Sturm</v>
      </c>
      <c r="F435" s="13" t="s">
        <v>349</v>
      </c>
      <c r="G435" s="14"/>
      <c r="H435" s="15">
        <f t="shared" ref="H435:H438" si="1065">IF(G435="x",10,0)</f>
        <v>0</v>
      </c>
      <c r="I435" s="14"/>
      <c r="J435" s="15">
        <f t="shared" ref="J435:J438" si="1066">IF((I435="x"),-10,0)</f>
        <v>0</v>
      </c>
      <c r="K435" s="14"/>
      <c r="L435" s="15">
        <f t="shared" ref="L435:L438" si="1067">IF((K435="x"),-20,0)</f>
        <v>0</v>
      </c>
      <c r="M435" s="14"/>
      <c r="N435" s="15">
        <f t="shared" ref="N435:N438" si="1068">IF((M435="x"),-30,0)</f>
        <v>0</v>
      </c>
      <c r="O435" s="16">
        <f t="shared" si="1042"/>
        <v>0</v>
      </c>
      <c r="P435" s="16">
        <f t="shared" si="1043"/>
        <v>-5</v>
      </c>
      <c r="Q435" s="16">
        <f t="shared" ref="Q435:Q438" si="1069">IF(($Q$9&lt;&gt;0),$Q$9*-10,5)</f>
        <v>-50</v>
      </c>
      <c r="R435" s="14"/>
      <c r="S435" s="15">
        <f t="shared" ref="S435:S438" si="1070">R435*10</f>
        <v>0</v>
      </c>
      <c r="T435" s="14"/>
      <c r="U435" s="15">
        <f t="shared" ref="U435:U438" si="1071">T435*-15</f>
        <v>0</v>
      </c>
      <c r="V435" s="16">
        <f t="shared" ref="V435:V438" si="1072">IF(AND(R435=2),10,IF(R435=3,30,IF(R435=4,50,IF(R435=5,70,0))))</f>
        <v>0</v>
      </c>
      <c r="W435" s="17">
        <f t="shared" ref="W435:W438" si="1073">IF(G435="x",H435+J435+L435+N435+O435+P435+Q435+S435+U435+V435,0)</f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28</v>
      </c>
      <c r="D436" s="21" t="str">
        <f>Spieltag!B424</f>
        <v>Luis Hartwig</v>
      </c>
      <c r="E436" s="12" t="str">
        <f>Spieltag!C424</f>
        <v>Sturm</v>
      </c>
      <c r="F436" s="13" t="s">
        <v>349</v>
      </c>
      <c r="G436" s="14"/>
      <c r="H436" s="15">
        <f t="shared" ref="H436" si="1074">IF(G436="x",10,0)</f>
        <v>0</v>
      </c>
      <c r="I436" s="14"/>
      <c r="J436" s="15">
        <f t="shared" ref="J436" si="1075">IF((I436="x"),-10,0)</f>
        <v>0</v>
      </c>
      <c r="K436" s="14"/>
      <c r="L436" s="15">
        <f t="shared" ref="L436" si="1076">IF((K436="x"),-20,0)</f>
        <v>0</v>
      </c>
      <c r="M436" s="14"/>
      <c r="N436" s="15">
        <f t="shared" ref="N436" si="1077">IF((M436="x"),-30,0)</f>
        <v>0</v>
      </c>
      <c r="O436" s="16">
        <f t="shared" si="1042"/>
        <v>0</v>
      </c>
      <c r="P436" s="16">
        <f t="shared" si="1043"/>
        <v>-5</v>
      </c>
      <c r="Q436" s="16">
        <f t="shared" si="1069"/>
        <v>-50</v>
      </c>
      <c r="R436" s="14"/>
      <c r="S436" s="15">
        <f t="shared" ref="S436" si="1078">R436*10</f>
        <v>0</v>
      </c>
      <c r="T436" s="14"/>
      <c r="U436" s="15">
        <f t="shared" ref="U436" si="1079">T436*-15</f>
        <v>0</v>
      </c>
      <c r="V436" s="16">
        <f t="shared" ref="V436" si="1080">IF(AND(R436=2),10,IF(R436=3,30,IF(R436=4,50,IF(R436=5,70,0))))</f>
        <v>0</v>
      </c>
      <c r="W436" s="17">
        <f t="shared" ref="W436" si="1081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29</v>
      </c>
      <c r="D437" s="21" t="str">
        <f>Spieltag!B425</f>
        <v>Moritz Broschinski</v>
      </c>
      <c r="E437" s="12" t="str">
        <f>Spieltag!C425</f>
        <v>Sturm</v>
      </c>
      <c r="F437" s="13" t="s">
        <v>349</v>
      </c>
      <c r="G437" s="14"/>
      <c r="H437" s="15">
        <f t="shared" si="1065"/>
        <v>0</v>
      </c>
      <c r="I437" s="14"/>
      <c r="J437" s="15">
        <f t="shared" si="1066"/>
        <v>0</v>
      </c>
      <c r="K437" s="14"/>
      <c r="L437" s="15">
        <f t="shared" si="1067"/>
        <v>0</v>
      </c>
      <c r="M437" s="14"/>
      <c r="N437" s="15">
        <f t="shared" si="1068"/>
        <v>0</v>
      </c>
      <c r="O437" s="16">
        <f t="shared" si="1042"/>
        <v>0</v>
      </c>
      <c r="P437" s="16">
        <f t="shared" si="1043"/>
        <v>-5</v>
      </c>
      <c r="Q437" s="16">
        <f t="shared" si="1069"/>
        <v>-50</v>
      </c>
      <c r="R437" s="14"/>
      <c r="S437" s="15">
        <f t="shared" si="1070"/>
        <v>0</v>
      </c>
      <c r="T437" s="14"/>
      <c r="U437" s="15">
        <f t="shared" si="1071"/>
        <v>0</v>
      </c>
      <c r="V437" s="16">
        <f t="shared" si="1072"/>
        <v>0</v>
      </c>
      <c r="W437" s="17">
        <f t="shared" si="107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33</v>
      </c>
      <c r="D438" s="21" t="str">
        <f>Spieltag!B426</f>
        <v>Philipp Hofmann</v>
      </c>
      <c r="E438" s="12" t="str">
        <f>Spieltag!C426</f>
        <v>Sturm</v>
      </c>
      <c r="F438" s="13" t="s">
        <v>349</v>
      </c>
      <c r="G438" s="14"/>
      <c r="H438" s="15">
        <f t="shared" si="1065"/>
        <v>0</v>
      </c>
      <c r="I438" s="14"/>
      <c r="J438" s="15">
        <f t="shared" si="1066"/>
        <v>0</v>
      </c>
      <c r="K438" s="14"/>
      <c r="L438" s="15">
        <f t="shared" si="1067"/>
        <v>0</v>
      </c>
      <c r="M438" s="14"/>
      <c r="N438" s="15">
        <f t="shared" si="1068"/>
        <v>0</v>
      </c>
      <c r="O438" s="16">
        <f t="shared" si="1042"/>
        <v>0</v>
      </c>
      <c r="P438" s="16">
        <f t="shared" si="1043"/>
        <v>-5</v>
      </c>
      <c r="Q438" s="16">
        <f t="shared" si="1069"/>
        <v>-50</v>
      </c>
      <c r="R438" s="14"/>
      <c r="S438" s="15">
        <f t="shared" si="1070"/>
        <v>0</v>
      </c>
      <c r="T438" s="14"/>
      <c r="U438" s="15">
        <f t="shared" si="1071"/>
        <v>0</v>
      </c>
      <c r="V438" s="16">
        <f t="shared" si="1072"/>
        <v>0</v>
      </c>
      <c r="W438" s="17">
        <f t="shared" si="1073"/>
        <v>0</v>
      </c>
    </row>
    <row r="439" spans="1:23" s="144" customFormat="1" ht="17.25" hidden="1" thickBot="1" x14ac:dyDescent="0.25">
      <c r="A439" s="142"/>
      <c r="B439" s="143">
        <f>SUM(B440:B472)</f>
        <v>0</v>
      </c>
      <c r="C439" s="158"/>
      <c r="D439" s="221" t="s">
        <v>96</v>
      </c>
      <c r="E439" s="221"/>
      <c r="F439" s="221"/>
      <c r="G439" s="221"/>
      <c r="H439" s="221"/>
      <c r="I439" s="221"/>
      <c r="J439" s="221"/>
      <c r="K439" s="221"/>
      <c r="L439" s="221"/>
      <c r="M439" s="221"/>
      <c r="N439" s="221"/>
      <c r="O439" s="221"/>
      <c r="P439" s="221"/>
      <c r="Q439" s="221"/>
      <c r="R439" s="221"/>
      <c r="S439" s="221"/>
      <c r="T439" s="221"/>
      <c r="U439" s="221"/>
      <c r="V439" s="221"/>
      <c r="W439" s="222"/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1</v>
      </c>
      <c r="D440" s="21" t="str">
        <f>Spieltag!B428</f>
        <v>Finn Dahmen</v>
      </c>
      <c r="E440" s="12" t="str">
        <f>Spieltag!C428</f>
        <v>Torwart</v>
      </c>
      <c r="F440" s="13" t="s">
        <v>95</v>
      </c>
      <c r="G440" s="14"/>
      <c r="H440" s="15">
        <f t="shared" ref="H440:H443" si="1082">IF(G440="x",10,0)</f>
        <v>0</v>
      </c>
      <c r="I440" s="14"/>
      <c r="J440" s="15">
        <f t="shared" ref="J440:J443" si="1083">IF((I440="x"),-10,0)</f>
        <v>0</v>
      </c>
      <c r="K440" s="14"/>
      <c r="L440" s="15">
        <f t="shared" ref="L440:L443" si="1084">IF((K440="x"),-20,0)</f>
        <v>0</v>
      </c>
      <c r="M440" s="14"/>
      <c r="N440" s="15">
        <f t="shared" ref="N440:N443" si="1085">IF((M440="x"),-30,0)</f>
        <v>0</v>
      </c>
      <c r="O440" s="16">
        <f t="shared" ref="O440:O465" si="1086">IF(AND($V$7&gt;$W$7),20,IF($V$7=$W$7,10,0))</f>
        <v>10</v>
      </c>
      <c r="P440" s="16">
        <f t="shared" ref="P440:P465" si="1087">IF(($V$7&lt;&gt;0),$V$7*10,-5)</f>
        <v>40</v>
      </c>
      <c r="Q440" s="16">
        <f>IF(($W$7&lt;&gt;0),$W$7*-10,20)</f>
        <v>-40</v>
      </c>
      <c r="R440" s="14"/>
      <c r="S440" s="15">
        <f>R440*20</f>
        <v>0</v>
      </c>
      <c r="T440" s="14"/>
      <c r="U440" s="15">
        <f t="shared" ref="U440:U443" si="1088">T440*-15</f>
        <v>0</v>
      </c>
      <c r="V440" s="16">
        <f t="shared" ref="V440:V443" si="1089">IF(AND(R440=2),10,IF(R440=3,30,IF(R440=4,50,IF(R440=5,70,0))))</f>
        <v>0</v>
      </c>
      <c r="W440" s="17">
        <f t="shared" ref="W440:W443" si="1090"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33</v>
      </c>
      <c r="D441" s="21" t="str">
        <f>Spieltag!B429</f>
        <v>Marcel Lubik (A)</v>
      </c>
      <c r="E441" s="12" t="str">
        <f>Spieltag!C429</f>
        <v>Torwart</v>
      </c>
      <c r="F441" s="13" t="s">
        <v>95</v>
      </c>
      <c r="G441" s="14"/>
      <c r="H441" s="15">
        <f t="shared" ref="H441:H442" si="1091">IF(G441="x",10,0)</f>
        <v>0</v>
      </c>
      <c r="I441" s="14"/>
      <c r="J441" s="15">
        <f t="shared" ref="J441:J442" si="1092">IF((I441="x"),-10,0)</f>
        <v>0</v>
      </c>
      <c r="K441" s="14"/>
      <c r="L441" s="15">
        <f t="shared" ref="L441:L442" si="1093">IF((K441="x"),-20,0)</f>
        <v>0</v>
      </c>
      <c r="M441" s="14"/>
      <c r="N441" s="15">
        <f t="shared" ref="N441:N442" si="1094">IF((M441="x"),-30,0)</f>
        <v>0</v>
      </c>
      <c r="O441" s="16">
        <f t="shared" si="1086"/>
        <v>10</v>
      </c>
      <c r="P441" s="16">
        <f t="shared" si="1087"/>
        <v>40</v>
      </c>
      <c r="Q441" s="16">
        <f t="shared" ref="Q441:Q442" si="1095">IF(($W$7&lt;&gt;0),$W$7*-10,20)</f>
        <v>-40</v>
      </c>
      <c r="R441" s="14"/>
      <c r="S441" s="15">
        <f t="shared" ref="S441:S442" si="1096">R441*20</f>
        <v>0</v>
      </c>
      <c r="T441" s="14"/>
      <c r="U441" s="15">
        <f t="shared" ref="U441:U442" si="1097">T441*-15</f>
        <v>0</v>
      </c>
      <c r="V441" s="16">
        <f t="shared" ref="V441:V442" si="1098">IF(AND(R441=2),10,IF(R441=3,30,IF(R441=4,50,IF(R441=5,70,0))))</f>
        <v>0</v>
      </c>
      <c r="W441" s="17">
        <f t="shared" ref="W441:W442" si="109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40</v>
      </c>
      <c r="D442" s="21" t="str">
        <f>Spieltag!B430</f>
        <v>Tomas Koubek (A)</v>
      </c>
      <c r="E442" s="12" t="str">
        <f>Spieltag!C430</f>
        <v>Torwart</v>
      </c>
      <c r="F442" s="13" t="s">
        <v>95</v>
      </c>
      <c r="G442" s="14"/>
      <c r="H442" s="15">
        <f t="shared" si="1091"/>
        <v>0</v>
      </c>
      <c r="I442" s="14"/>
      <c r="J442" s="15">
        <f t="shared" si="1092"/>
        <v>0</v>
      </c>
      <c r="K442" s="14"/>
      <c r="L442" s="15">
        <f t="shared" si="1093"/>
        <v>0</v>
      </c>
      <c r="M442" s="14"/>
      <c r="N442" s="15">
        <f t="shared" si="1094"/>
        <v>0</v>
      </c>
      <c r="O442" s="16">
        <f t="shared" si="1086"/>
        <v>10</v>
      </c>
      <c r="P442" s="16">
        <f t="shared" si="1087"/>
        <v>40</v>
      </c>
      <c r="Q442" s="16">
        <f t="shared" si="1095"/>
        <v>-40</v>
      </c>
      <c r="R442" s="14"/>
      <c r="S442" s="15">
        <f t="shared" si="1096"/>
        <v>0</v>
      </c>
      <c r="T442" s="14"/>
      <c r="U442" s="15">
        <f t="shared" si="1097"/>
        <v>0</v>
      </c>
      <c r="V442" s="16">
        <f t="shared" si="1098"/>
        <v>0</v>
      </c>
      <c r="W442" s="17">
        <f t="shared" si="1099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2</v>
      </c>
      <c r="D443" s="21" t="str">
        <f>Spieltag!B431</f>
        <v>Robert Gumny (A)</v>
      </c>
      <c r="E443" s="12" t="str">
        <f>Spieltag!C431</f>
        <v>Abwehr</v>
      </c>
      <c r="F443" s="13" t="s">
        <v>95</v>
      </c>
      <c r="G443" s="14"/>
      <c r="H443" s="15">
        <f t="shared" si="1082"/>
        <v>0</v>
      </c>
      <c r="I443" s="14"/>
      <c r="J443" s="15">
        <f t="shared" si="1083"/>
        <v>0</v>
      </c>
      <c r="K443" s="14"/>
      <c r="L443" s="15">
        <f t="shared" si="1084"/>
        <v>0</v>
      </c>
      <c r="M443" s="14"/>
      <c r="N443" s="15">
        <f t="shared" si="1085"/>
        <v>0</v>
      </c>
      <c r="O443" s="16">
        <f t="shared" si="1086"/>
        <v>10</v>
      </c>
      <c r="P443" s="16">
        <f t="shared" si="1087"/>
        <v>40</v>
      </c>
      <c r="Q443" s="16">
        <f t="shared" ref="Q443:Q455" si="1100">IF(($W$7&lt;&gt;0),$W$7*-10,15)</f>
        <v>-40</v>
      </c>
      <c r="R443" s="14"/>
      <c r="S443" s="15">
        <f>R443*15</f>
        <v>0</v>
      </c>
      <c r="T443" s="14"/>
      <c r="U443" s="15">
        <f t="shared" si="1088"/>
        <v>0</v>
      </c>
      <c r="V443" s="16">
        <f t="shared" si="1089"/>
        <v>0</v>
      </c>
      <c r="W443" s="17">
        <f t="shared" si="1090"/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3</v>
      </c>
      <c r="D444" s="21" t="str">
        <f>Spieltag!B432</f>
        <v>Mads Pedersen (A)</v>
      </c>
      <c r="E444" s="12" t="str">
        <f>Spieltag!C432</f>
        <v>Abwehr</v>
      </c>
      <c r="F444" s="13" t="s">
        <v>95</v>
      </c>
      <c r="G444" s="14"/>
      <c r="H444" s="15">
        <f t="shared" ref="H444:H455" si="1101">IF(G444="x",10,0)</f>
        <v>0</v>
      </c>
      <c r="I444" s="14"/>
      <c r="J444" s="15">
        <f t="shared" ref="J444:J455" si="1102">IF((I444="x"),-10,0)</f>
        <v>0</v>
      </c>
      <c r="K444" s="14"/>
      <c r="L444" s="15">
        <f t="shared" ref="L444:L455" si="1103">IF((K444="x"),-20,0)</f>
        <v>0</v>
      </c>
      <c r="M444" s="14"/>
      <c r="N444" s="15">
        <f t="shared" ref="N444:N455" si="1104">IF((M444="x"),-30,0)</f>
        <v>0</v>
      </c>
      <c r="O444" s="16">
        <f t="shared" si="1086"/>
        <v>10</v>
      </c>
      <c r="P444" s="16">
        <f t="shared" si="1087"/>
        <v>40</v>
      </c>
      <c r="Q444" s="16">
        <f t="shared" si="1100"/>
        <v>-40</v>
      </c>
      <c r="R444" s="14"/>
      <c r="S444" s="15">
        <f t="shared" ref="S444:S455" si="1105">R444*15</f>
        <v>0</v>
      </c>
      <c r="T444" s="14"/>
      <c r="U444" s="15">
        <f t="shared" ref="U444:U455" si="1106">T444*-15</f>
        <v>0</v>
      </c>
      <c r="V444" s="16">
        <f t="shared" ref="V444:V455" si="1107">IF(AND(R444=2),10,IF(R444=3,30,IF(R444=4,50,IF(R444=5,70,0))))</f>
        <v>0</v>
      </c>
      <c r="W444" s="17">
        <f t="shared" ref="W444:W455" si="1108">IF(G444="x",H444+J444+L444+N444+O444+P444+Q444+S444+U444+V444,0)</f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4</v>
      </c>
      <c r="D445" s="21" t="str">
        <f>Spieltag!B433</f>
        <v>Reece Oxford (A)</v>
      </c>
      <c r="E445" s="12" t="str">
        <f>Spieltag!C433</f>
        <v>Abwehr</v>
      </c>
      <c r="F445" s="13" t="s">
        <v>95</v>
      </c>
      <c r="G445" s="14"/>
      <c r="H445" s="15">
        <f t="shared" si="1101"/>
        <v>0</v>
      </c>
      <c r="I445" s="14"/>
      <c r="J445" s="15">
        <f t="shared" si="1102"/>
        <v>0</v>
      </c>
      <c r="K445" s="14"/>
      <c r="L445" s="15">
        <f t="shared" si="1103"/>
        <v>0</v>
      </c>
      <c r="M445" s="14"/>
      <c r="N445" s="15">
        <f t="shared" si="1104"/>
        <v>0</v>
      </c>
      <c r="O445" s="16">
        <f t="shared" si="1086"/>
        <v>10</v>
      </c>
      <c r="P445" s="16">
        <f t="shared" si="1087"/>
        <v>40</v>
      </c>
      <c r="Q445" s="16">
        <f t="shared" si="1100"/>
        <v>-40</v>
      </c>
      <c r="R445" s="14"/>
      <c r="S445" s="15">
        <f t="shared" si="1105"/>
        <v>0</v>
      </c>
      <c r="T445" s="14"/>
      <c r="U445" s="15">
        <f t="shared" si="1106"/>
        <v>0</v>
      </c>
      <c r="V445" s="16">
        <f t="shared" si="1107"/>
        <v>0</v>
      </c>
      <c r="W445" s="17">
        <f t="shared" si="1108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5</v>
      </c>
      <c r="D446" s="21" t="str">
        <f>Spieltag!B434</f>
        <v>Patric Pfeiffer</v>
      </c>
      <c r="E446" s="12" t="str">
        <f>Spieltag!C434</f>
        <v>Abwehr</v>
      </c>
      <c r="F446" s="13" t="s">
        <v>95</v>
      </c>
      <c r="G446" s="14"/>
      <c r="H446" s="15">
        <f t="shared" si="1101"/>
        <v>0</v>
      </c>
      <c r="I446" s="14"/>
      <c r="J446" s="15">
        <f t="shared" si="1102"/>
        <v>0</v>
      </c>
      <c r="K446" s="14"/>
      <c r="L446" s="15">
        <f t="shared" si="1103"/>
        <v>0</v>
      </c>
      <c r="M446" s="14"/>
      <c r="N446" s="15">
        <f t="shared" si="1104"/>
        <v>0</v>
      </c>
      <c r="O446" s="16">
        <f t="shared" si="1086"/>
        <v>10</v>
      </c>
      <c r="P446" s="16">
        <f t="shared" si="1087"/>
        <v>40</v>
      </c>
      <c r="Q446" s="16">
        <f t="shared" si="1100"/>
        <v>-40</v>
      </c>
      <c r="R446" s="14"/>
      <c r="S446" s="15">
        <f t="shared" si="1105"/>
        <v>0</v>
      </c>
      <c r="T446" s="14"/>
      <c r="U446" s="15">
        <f t="shared" si="1106"/>
        <v>0</v>
      </c>
      <c r="V446" s="16">
        <f t="shared" si="1107"/>
        <v>0</v>
      </c>
      <c r="W446" s="17">
        <f t="shared" si="1108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6</v>
      </c>
      <c r="D447" s="21" t="str">
        <f>Spieltag!B435</f>
        <v>Jeffrey Gouweleeuw (A)</v>
      </c>
      <c r="E447" s="12" t="str">
        <f>Spieltag!C435</f>
        <v>Abwehr</v>
      </c>
      <c r="F447" s="13" t="s">
        <v>95</v>
      </c>
      <c r="G447" s="14"/>
      <c r="H447" s="15">
        <f t="shared" si="1101"/>
        <v>0</v>
      </c>
      <c r="I447" s="14"/>
      <c r="J447" s="15">
        <f t="shared" si="1102"/>
        <v>0</v>
      </c>
      <c r="K447" s="14"/>
      <c r="L447" s="15">
        <f t="shared" si="1103"/>
        <v>0</v>
      </c>
      <c r="M447" s="14"/>
      <c r="N447" s="15">
        <f t="shared" si="1104"/>
        <v>0</v>
      </c>
      <c r="O447" s="16">
        <f t="shared" si="1086"/>
        <v>10</v>
      </c>
      <c r="P447" s="16">
        <f t="shared" si="1087"/>
        <v>40</v>
      </c>
      <c r="Q447" s="16">
        <f t="shared" si="1100"/>
        <v>-40</v>
      </c>
      <c r="R447" s="14"/>
      <c r="S447" s="15">
        <f t="shared" si="1105"/>
        <v>0</v>
      </c>
      <c r="T447" s="14"/>
      <c r="U447" s="15">
        <f t="shared" si="1106"/>
        <v>0</v>
      </c>
      <c r="V447" s="16">
        <f t="shared" si="1107"/>
        <v>0</v>
      </c>
      <c r="W447" s="17">
        <f t="shared" si="1108"/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15</v>
      </c>
      <c r="D448" s="21" t="str">
        <f>Spieltag!B436</f>
        <v xml:space="preserve">Jozo Stanic </v>
      </c>
      <c r="E448" s="12" t="str">
        <f>Spieltag!C436</f>
        <v>Abwehr</v>
      </c>
      <c r="F448" s="13" t="s">
        <v>95</v>
      </c>
      <c r="G448" s="14"/>
      <c r="H448" s="15">
        <f t="shared" si="1101"/>
        <v>0</v>
      </c>
      <c r="I448" s="14"/>
      <c r="J448" s="15">
        <f t="shared" si="1102"/>
        <v>0</v>
      </c>
      <c r="K448" s="14"/>
      <c r="L448" s="15">
        <f t="shared" si="1103"/>
        <v>0</v>
      </c>
      <c r="M448" s="14"/>
      <c r="N448" s="15">
        <f t="shared" si="1104"/>
        <v>0</v>
      </c>
      <c r="O448" s="16">
        <f t="shared" si="1086"/>
        <v>10</v>
      </c>
      <c r="P448" s="16">
        <f t="shared" si="1087"/>
        <v>40</v>
      </c>
      <c r="Q448" s="16">
        <f t="shared" si="1100"/>
        <v>-40</v>
      </c>
      <c r="R448" s="14"/>
      <c r="S448" s="15">
        <f t="shared" si="1105"/>
        <v>0</v>
      </c>
      <c r="T448" s="14"/>
      <c r="U448" s="15">
        <f t="shared" si="1106"/>
        <v>0</v>
      </c>
      <c r="V448" s="16">
        <f t="shared" si="1107"/>
        <v>0</v>
      </c>
      <c r="W448" s="17">
        <f t="shared" si="1108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19</v>
      </c>
      <c r="D449" s="21" t="str">
        <f>Spieltag!B437</f>
        <v>Felix Uduokhai</v>
      </c>
      <c r="E449" s="12" t="str">
        <f>Spieltag!C437</f>
        <v>Abwehr</v>
      </c>
      <c r="F449" s="13" t="s">
        <v>95</v>
      </c>
      <c r="G449" s="14"/>
      <c r="H449" s="15">
        <f t="shared" si="1101"/>
        <v>0</v>
      </c>
      <c r="I449" s="14"/>
      <c r="J449" s="15">
        <f t="shared" si="1102"/>
        <v>0</v>
      </c>
      <c r="K449" s="14"/>
      <c r="L449" s="15">
        <f t="shared" si="1103"/>
        <v>0</v>
      </c>
      <c r="M449" s="14"/>
      <c r="N449" s="15">
        <f t="shared" si="1104"/>
        <v>0</v>
      </c>
      <c r="O449" s="16">
        <f t="shared" si="1086"/>
        <v>10</v>
      </c>
      <c r="P449" s="16">
        <f t="shared" si="1087"/>
        <v>40</v>
      </c>
      <c r="Q449" s="16">
        <f t="shared" si="1100"/>
        <v>-40</v>
      </c>
      <c r="R449" s="14"/>
      <c r="S449" s="15">
        <f t="shared" si="1105"/>
        <v>0</v>
      </c>
      <c r="T449" s="14"/>
      <c r="U449" s="15">
        <f t="shared" si="1106"/>
        <v>0</v>
      </c>
      <c r="V449" s="16">
        <f t="shared" si="1107"/>
        <v>0</v>
      </c>
      <c r="W449" s="17">
        <f t="shared" si="1108"/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22</v>
      </c>
      <c r="D450" s="21" t="str">
        <f>Spieltag!B438</f>
        <v>Iago (A)</v>
      </c>
      <c r="E450" s="12" t="str">
        <f>Spieltag!C438</f>
        <v>Abwehr</v>
      </c>
      <c r="F450" s="13" t="s">
        <v>95</v>
      </c>
      <c r="G450" s="14"/>
      <c r="H450" s="15">
        <f t="shared" si="1101"/>
        <v>0</v>
      </c>
      <c r="I450" s="14"/>
      <c r="J450" s="15">
        <f t="shared" si="1102"/>
        <v>0</v>
      </c>
      <c r="K450" s="14"/>
      <c r="L450" s="15">
        <f t="shared" si="1103"/>
        <v>0</v>
      </c>
      <c r="M450" s="14"/>
      <c r="N450" s="15">
        <f t="shared" si="1104"/>
        <v>0</v>
      </c>
      <c r="O450" s="16">
        <f t="shared" si="1086"/>
        <v>10</v>
      </c>
      <c r="P450" s="16">
        <f t="shared" si="1087"/>
        <v>40</v>
      </c>
      <c r="Q450" s="16">
        <f t="shared" si="1100"/>
        <v>-40</v>
      </c>
      <c r="R450" s="14"/>
      <c r="S450" s="15">
        <f t="shared" si="1105"/>
        <v>0</v>
      </c>
      <c r="T450" s="14"/>
      <c r="U450" s="15">
        <f t="shared" si="1106"/>
        <v>0</v>
      </c>
      <c r="V450" s="16">
        <f t="shared" si="1107"/>
        <v>0</v>
      </c>
      <c r="W450" s="17">
        <f t="shared" si="1108"/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23</v>
      </c>
      <c r="D451" s="21" t="str">
        <f>Spieltag!B439</f>
        <v>Maximilian Bauer</v>
      </c>
      <c r="E451" s="12" t="str">
        <f>Spieltag!C439</f>
        <v>Abwehr</v>
      </c>
      <c r="F451" s="13" t="s">
        <v>95</v>
      </c>
      <c r="G451" s="14"/>
      <c r="H451" s="15">
        <f t="shared" si="1101"/>
        <v>0</v>
      </c>
      <c r="I451" s="14"/>
      <c r="J451" s="15">
        <f t="shared" si="1102"/>
        <v>0</v>
      </c>
      <c r="K451" s="14"/>
      <c r="L451" s="15">
        <f t="shared" si="1103"/>
        <v>0</v>
      </c>
      <c r="M451" s="14"/>
      <c r="N451" s="15">
        <f t="shared" si="1104"/>
        <v>0</v>
      </c>
      <c r="O451" s="16">
        <f t="shared" si="1086"/>
        <v>10</v>
      </c>
      <c r="P451" s="16">
        <f t="shared" si="1087"/>
        <v>40</v>
      </c>
      <c r="Q451" s="16">
        <f t="shared" si="1100"/>
        <v>-40</v>
      </c>
      <c r="R451" s="14"/>
      <c r="S451" s="15">
        <f t="shared" si="1105"/>
        <v>0</v>
      </c>
      <c r="T451" s="14"/>
      <c r="U451" s="15">
        <f t="shared" si="1106"/>
        <v>0</v>
      </c>
      <c r="V451" s="16">
        <f t="shared" si="1107"/>
        <v>0</v>
      </c>
      <c r="W451" s="17">
        <f t="shared" si="1108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26</v>
      </c>
      <c r="D452" s="21" t="str">
        <f>Spieltag!B440</f>
        <v>Frederik Winther (A)</v>
      </c>
      <c r="E452" s="12" t="str">
        <f>Spieltag!C440</f>
        <v>Abwehr</v>
      </c>
      <c r="F452" s="13" t="s">
        <v>95</v>
      </c>
      <c r="G452" s="14"/>
      <c r="H452" s="15">
        <f t="shared" si="1101"/>
        <v>0</v>
      </c>
      <c r="I452" s="14"/>
      <c r="J452" s="15">
        <f t="shared" si="1102"/>
        <v>0</v>
      </c>
      <c r="K452" s="14"/>
      <c r="L452" s="15">
        <f t="shared" si="1103"/>
        <v>0</v>
      </c>
      <c r="M452" s="14"/>
      <c r="N452" s="15">
        <f t="shared" si="1104"/>
        <v>0</v>
      </c>
      <c r="O452" s="16">
        <f t="shared" si="1086"/>
        <v>10</v>
      </c>
      <c r="P452" s="16">
        <f t="shared" si="1087"/>
        <v>40</v>
      </c>
      <c r="Q452" s="16">
        <f t="shared" si="1100"/>
        <v>-40</v>
      </c>
      <c r="R452" s="14"/>
      <c r="S452" s="15">
        <f t="shared" si="1105"/>
        <v>0</v>
      </c>
      <c r="T452" s="14"/>
      <c r="U452" s="15">
        <f t="shared" si="1106"/>
        <v>0</v>
      </c>
      <c r="V452" s="16">
        <f t="shared" si="1107"/>
        <v>0</v>
      </c>
      <c r="W452" s="17">
        <f t="shared" si="1108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32</v>
      </c>
      <c r="D453" s="21" t="str">
        <f>Spieltag!B441</f>
        <v>Raphael Framberger</v>
      </c>
      <c r="E453" s="12" t="str">
        <f>Spieltag!C441</f>
        <v>Abwehr</v>
      </c>
      <c r="F453" s="13" t="s">
        <v>95</v>
      </c>
      <c r="G453" s="14"/>
      <c r="H453" s="15">
        <f t="shared" si="1101"/>
        <v>0</v>
      </c>
      <c r="I453" s="14"/>
      <c r="J453" s="15">
        <f t="shared" si="1102"/>
        <v>0</v>
      </c>
      <c r="K453" s="14"/>
      <c r="L453" s="15">
        <f t="shared" si="1103"/>
        <v>0</v>
      </c>
      <c r="M453" s="14"/>
      <c r="N453" s="15">
        <f t="shared" si="1104"/>
        <v>0</v>
      </c>
      <c r="O453" s="16">
        <f t="shared" si="1086"/>
        <v>10</v>
      </c>
      <c r="P453" s="16">
        <f t="shared" si="1087"/>
        <v>40</v>
      </c>
      <c r="Q453" s="16">
        <f t="shared" si="1100"/>
        <v>-40</v>
      </c>
      <c r="R453" s="14"/>
      <c r="S453" s="15">
        <f t="shared" si="1105"/>
        <v>0</v>
      </c>
      <c r="T453" s="14"/>
      <c r="U453" s="15">
        <f t="shared" si="1106"/>
        <v>0</v>
      </c>
      <c r="V453" s="16">
        <f t="shared" si="1107"/>
        <v>0</v>
      </c>
      <c r="W453" s="17">
        <f t="shared" si="1108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38</v>
      </c>
      <c r="D454" s="21" t="str">
        <f>Spieltag!B442</f>
        <v>David Colina (A)</v>
      </c>
      <c r="E454" s="12" t="str">
        <f>Spieltag!C442</f>
        <v>Abwehr</v>
      </c>
      <c r="F454" s="13" t="s">
        <v>95</v>
      </c>
      <c r="G454" s="14"/>
      <c r="H454" s="15">
        <f t="shared" si="1101"/>
        <v>0</v>
      </c>
      <c r="I454" s="14"/>
      <c r="J454" s="15">
        <f t="shared" si="1102"/>
        <v>0</v>
      </c>
      <c r="K454" s="14"/>
      <c r="L454" s="15">
        <f t="shared" si="1103"/>
        <v>0</v>
      </c>
      <c r="M454" s="14"/>
      <c r="N454" s="15">
        <f t="shared" si="1104"/>
        <v>0</v>
      </c>
      <c r="O454" s="16">
        <f t="shared" si="1086"/>
        <v>10</v>
      </c>
      <c r="P454" s="16">
        <f t="shared" si="1087"/>
        <v>40</v>
      </c>
      <c r="Q454" s="16">
        <f t="shared" si="1100"/>
        <v>-40</v>
      </c>
      <c r="R454" s="14"/>
      <c r="S454" s="15">
        <f t="shared" si="1105"/>
        <v>0</v>
      </c>
      <c r="T454" s="14"/>
      <c r="U454" s="15">
        <f t="shared" si="1106"/>
        <v>0</v>
      </c>
      <c r="V454" s="16">
        <f t="shared" si="1107"/>
        <v>0</v>
      </c>
      <c r="W454" s="17">
        <f t="shared" si="1108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42</v>
      </c>
      <c r="D455" s="21" t="str">
        <f>Spieltag!B443</f>
        <v>Aaron Zehnter</v>
      </c>
      <c r="E455" s="12" t="str">
        <f>Spieltag!C443</f>
        <v>Abwehr</v>
      </c>
      <c r="F455" s="13" t="s">
        <v>95</v>
      </c>
      <c r="G455" s="14"/>
      <c r="H455" s="15">
        <f t="shared" si="1101"/>
        <v>0</v>
      </c>
      <c r="I455" s="14"/>
      <c r="J455" s="15">
        <f t="shared" si="1102"/>
        <v>0</v>
      </c>
      <c r="K455" s="14"/>
      <c r="L455" s="15">
        <f t="shared" si="1103"/>
        <v>0</v>
      </c>
      <c r="M455" s="14"/>
      <c r="N455" s="15">
        <f t="shared" si="1104"/>
        <v>0</v>
      </c>
      <c r="O455" s="16">
        <f t="shared" si="1086"/>
        <v>10</v>
      </c>
      <c r="P455" s="16">
        <f t="shared" si="1087"/>
        <v>40</v>
      </c>
      <c r="Q455" s="16">
        <f t="shared" si="1100"/>
        <v>-40</v>
      </c>
      <c r="R455" s="14"/>
      <c r="S455" s="15">
        <f t="shared" si="1105"/>
        <v>0</v>
      </c>
      <c r="T455" s="14"/>
      <c r="U455" s="15">
        <f t="shared" si="1106"/>
        <v>0</v>
      </c>
      <c r="V455" s="16">
        <f t="shared" si="1107"/>
        <v>0</v>
      </c>
      <c r="W455" s="17">
        <f t="shared" si="1108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10</v>
      </c>
      <c r="D456" s="21" t="str">
        <f>Spieltag!B444</f>
        <v>Arne Maier</v>
      </c>
      <c r="E456" s="12" t="str">
        <f>Spieltag!C444</f>
        <v>Mittelfeld</v>
      </c>
      <c r="F456" s="13" t="s">
        <v>95</v>
      </c>
      <c r="G456" s="14"/>
      <c r="H456" s="15">
        <f t="shared" ref="H456:H465" si="1109">IF(G456="x",10,0)</f>
        <v>0</v>
      </c>
      <c r="I456" s="14"/>
      <c r="J456" s="15">
        <f t="shared" ref="J456:J465" si="1110">IF((I456="x"),-10,0)</f>
        <v>0</v>
      </c>
      <c r="K456" s="14"/>
      <c r="L456" s="15">
        <f t="shared" ref="L456:L465" si="1111">IF((K456="x"),-20,0)</f>
        <v>0</v>
      </c>
      <c r="M456" s="14"/>
      <c r="N456" s="15">
        <f t="shared" ref="N456:N465" si="1112">IF((M456="x"),-30,0)</f>
        <v>0</v>
      </c>
      <c r="O456" s="16">
        <f t="shared" si="1086"/>
        <v>10</v>
      </c>
      <c r="P456" s="16">
        <f t="shared" si="1087"/>
        <v>40</v>
      </c>
      <c r="Q456" s="16">
        <f t="shared" ref="Q456:Q465" si="1113">IF(($W$7&lt;&gt;0),$W$7*-10,10)</f>
        <v>-40</v>
      </c>
      <c r="R456" s="14"/>
      <c r="S456" s="15">
        <f t="shared" ref="S456:S465" si="1114">R456*10</f>
        <v>0</v>
      </c>
      <c r="T456" s="14"/>
      <c r="U456" s="15">
        <f t="shared" ref="U456:U465" si="1115">T456*-15</f>
        <v>0</v>
      </c>
      <c r="V456" s="16">
        <f t="shared" ref="V456:V465" si="1116">IF(AND(R456=2),10,IF(R456=3,30,IF(R456=4,50,IF(R456=5,70,0))))</f>
        <v>0</v>
      </c>
      <c r="W456" s="17">
        <f t="shared" ref="W456:W465" si="1117">IF(G456="x",H456+J456+L456+N456+O456+P456+Q456+S456+U456+V456,0)</f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13</v>
      </c>
      <c r="D457" s="21" t="str">
        <f>Spieltag!B445</f>
        <v>Elvis Rexhbecaj</v>
      </c>
      <c r="E457" s="12" t="str">
        <f>Spieltag!C445</f>
        <v>Mittelfeld</v>
      </c>
      <c r="F457" s="13" t="s">
        <v>95</v>
      </c>
      <c r="G457" s="14"/>
      <c r="H457" s="15">
        <f t="shared" si="1109"/>
        <v>0</v>
      </c>
      <c r="I457" s="14"/>
      <c r="J457" s="15">
        <f t="shared" si="1110"/>
        <v>0</v>
      </c>
      <c r="K457" s="14"/>
      <c r="L457" s="15">
        <f t="shared" si="1111"/>
        <v>0</v>
      </c>
      <c r="M457" s="14"/>
      <c r="N457" s="15">
        <f t="shared" si="1112"/>
        <v>0</v>
      </c>
      <c r="O457" s="16">
        <f t="shared" si="1086"/>
        <v>10</v>
      </c>
      <c r="P457" s="16">
        <f t="shared" si="1087"/>
        <v>40</v>
      </c>
      <c r="Q457" s="16">
        <f t="shared" si="1113"/>
        <v>-40</v>
      </c>
      <c r="R457" s="14"/>
      <c r="S457" s="15">
        <f t="shared" si="1114"/>
        <v>0</v>
      </c>
      <c r="T457" s="14"/>
      <c r="U457" s="15">
        <f t="shared" si="1115"/>
        <v>0</v>
      </c>
      <c r="V457" s="16">
        <f t="shared" si="1116"/>
        <v>0</v>
      </c>
      <c r="W457" s="17">
        <f t="shared" si="1117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14</v>
      </c>
      <c r="D458" s="21" t="str">
        <f>Spieltag!B446</f>
        <v>Masaya Okugawa (A)</v>
      </c>
      <c r="E458" s="12" t="str">
        <f>Spieltag!C446</f>
        <v>Mittelfeld</v>
      </c>
      <c r="F458" s="13" t="s">
        <v>95</v>
      </c>
      <c r="G458" s="14"/>
      <c r="H458" s="15">
        <f t="shared" si="1109"/>
        <v>0</v>
      </c>
      <c r="I458" s="14"/>
      <c r="J458" s="15">
        <f t="shared" si="1110"/>
        <v>0</v>
      </c>
      <c r="K458" s="14"/>
      <c r="L458" s="15">
        <f t="shared" si="1111"/>
        <v>0</v>
      </c>
      <c r="M458" s="14"/>
      <c r="N458" s="15">
        <f t="shared" si="1112"/>
        <v>0</v>
      </c>
      <c r="O458" s="16">
        <f t="shared" si="1086"/>
        <v>10</v>
      </c>
      <c r="P458" s="16">
        <f t="shared" si="1087"/>
        <v>40</v>
      </c>
      <c r="Q458" s="16">
        <f t="shared" si="1113"/>
        <v>-40</v>
      </c>
      <c r="R458" s="14"/>
      <c r="S458" s="15">
        <f t="shared" si="1114"/>
        <v>0</v>
      </c>
      <c r="T458" s="14"/>
      <c r="U458" s="15">
        <f t="shared" si="1115"/>
        <v>0</v>
      </c>
      <c r="V458" s="16">
        <f t="shared" si="1116"/>
        <v>0</v>
      </c>
      <c r="W458" s="17">
        <f t="shared" si="1117"/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16</v>
      </c>
      <c r="D459" s="21" t="str">
        <f>Spieltag!B447</f>
        <v>Ruben Vargas (A)</v>
      </c>
      <c r="E459" s="12" t="str">
        <f>Spieltag!C447</f>
        <v>Mittelfeld</v>
      </c>
      <c r="F459" s="13" t="s">
        <v>95</v>
      </c>
      <c r="G459" s="14"/>
      <c r="H459" s="15">
        <f t="shared" si="1109"/>
        <v>0</v>
      </c>
      <c r="I459" s="14"/>
      <c r="J459" s="15">
        <f t="shared" si="1110"/>
        <v>0</v>
      </c>
      <c r="K459" s="14"/>
      <c r="L459" s="15">
        <f t="shared" si="1111"/>
        <v>0</v>
      </c>
      <c r="M459" s="14"/>
      <c r="N459" s="15">
        <f t="shared" si="1112"/>
        <v>0</v>
      </c>
      <c r="O459" s="16">
        <f t="shared" si="1086"/>
        <v>10</v>
      </c>
      <c r="P459" s="16">
        <f t="shared" si="1087"/>
        <v>40</v>
      </c>
      <c r="Q459" s="16">
        <f t="shared" si="1113"/>
        <v>-40</v>
      </c>
      <c r="R459" s="14"/>
      <c r="S459" s="15">
        <f t="shared" si="1114"/>
        <v>0</v>
      </c>
      <c r="T459" s="14"/>
      <c r="U459" s="15">
        <f t="shared" si="1115"/>
        <v>0</v>
      </c>
      <c r="V459" s="16">
        <f t="shared" si="1116"/>
        <v>0</v>
      </c>
      <c r="W459" s="17">
        <f t="shared" si="1117"/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17</v>
      </c>
      <c r="D460" s="21" t="str">
        <f>Spieltag!B448</f>
        <v>Noah Joel Sarensen Bazee</v>
      </c>
      <c r="E460" s="12" t="str">
        <f>Spieltag!C448</f>
        <v>Mittelfeld</v>
      </c>
      <c r="F460" s="13" t="s">
        <v>95</v>
      </c>
      <c r="G460" s="14"/>
      <c r="H460" s="15">
        <f t="shared" si="1109"/>
        <v>0</v>
      </c>
      <c r="I460" s="14"/>
      <c r="J460" s="15">
        <f t="shared" si="1110"/>
        <v>0</v>
      </c>
      <c r="K460" s="14"/>
      <c r="L460" s="15">
        <f t="shared" si="1111"/>
        <v>0</v>
      </c>
      <c r="M460" s="14"/>
      <c r="N460" s="15">
        <f t="shared" si="1112"/>
        <v>0</v>
      </c>
      <c r="O460" s="16">
        <f t="shared" si="1086"/>
        <v>10</v>
      </c>
      <c r="P460" s="16">
        <f t="shared" si="1087"/>
        <v>40</v>
      </c>
      <c r="Q460" s="16">
        <f t="shared" si="1113"/>
        <v>-40</v>
      </c>
      <c r="R460" s="14"/>
      <c r="S460" s="15">
        <f t="shared" si="1114"/>
        <v>0</v>
      </c>
      <c r="T460" s="14"/>
      <c r="U460" s="15">
        <f t="shared" si="1115"/>
        <v>0</v>
      </c>
      <c r="V460" s="16">
        <f t="shared" si="1116"/>
        <v>0</v>
      </c>
      <c r="W460" s="17">
        <f t="shared" si="1117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18</v>
      </c>
      <c r="D461" s="21" t="str">
        <f>Spieltag!B449</f>
        <v>Tim Breithaupt</v>
      </c>
      <c r="E461" s="12" t="str">
        <f>Spieltag!C449</f>
        <v>Mittelfeld</v>
      </c>
      <c r="F461" s="13" t="s">
        <v>95</v>
      </c>
      <c r="G461" s="14"/>
      <c r="H461" s="15">
        <f t="shared" si="1109"/>
        <v>0</v>
      </c>
      <c r="I461" s="14"/>
      <c r="J461" s="15">
        <f t="shared" si="1110"/>
        <v>0</v>
      </c>
      <c r="K461" s="14"/>
      <c r="L461" s="15">
        <f t="shared" si="1111"/>
        <v>0</v>
      </c>
      <c r="M461" s="14"/>
      <c r="N461" s="15">
        <f t="shared" si="1112"/>
        <v>0</v>
      </c>
      <c r="O461" s="16">
        <f t="shared" si="1086"/>
        <v>10</v>
      </c>
      <c r="P461" s="16">
        <f t="shared" si="1087"/>
        <v>40</v>
      </c>
      <c r="Q461" s="16">
        <f t="shared" si="1113"/>
        <v>-40</v>
      </c>
      <c r="R461" s="14"/>
      <c r="S461" s="15">
        <f t="shared" si="1114"/>
        <v>0</v>
      </c>
      <c r="T461" s="14"/>
      <c r="U461" s="15">
        <f t="shared" si="1115"/>
        <v>0</v>
      </c>
      <c r="V461" s="16">
        <f t="shared" si="1116"/>
        <v>0</v>
      </c>
      <c r="W461" s="17">
        <f t="shared" si="1117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24</v>
      </c>
      <c r="D462" s="21" t="str">
        <f>Spieltag!B450</f>
        <v>Fredrik Jensen (A)</v>
      </c>
      <c r="E462" s="12" t="str">
        <f>Spieltag!C450</f>
        <v>Mittelfeld</v>
      </c>
      <c r="F462" s="13" t="s">
        <v>95</v>
      </c>
      <c r="G462" s="14"/>
      <c r="H462" s="15">
        <f t="shared" si="1109"/>
        <v>0</v>
      </c>
      <c r="I462" s="14"/>
      <c r="J462" s="15">
        <f t="shared" si="1110"/>
        <v>0</v>
      </c>
      <c r="K462" s="14"/>
      <c r="L462" s="15">
        <f t="shared" si="1111"/>
        <v>0</v>
      </c>
      <c r="M462" s="14"/>
      <c r="N462" s="15">
        <f t="shared" si="1112"/>
        <v>0</v>
      </c>
      <c r="O462" s="16">
        <f t="shared" si="1086"/>
        <v>10</v>
      </c>
      <c r="P462" s="16">
        <f t="shared" si="1087"/>
        <v>40</v>
      </c>
      <c r="Q462" s="16">
        <f t="shared" si="1113"/>
        <v>-40</v>
      </c>
      <c r="R462" s="14"/>
      <c r="S462" s="15">
        <f t="shared" si="1114"/>
        <v>0</v>
      </c>
      <c r="T462" s="14"/>
      <c r="U462" s="15">
        <f t="shared" si="1115"/>
        <v>0</v>
      </c>
      <c r="V462" s="16">
        <f t="shared" si="1116"/>
        <v>0</v>
      </c>
      <c r="W462" s="17">
        <f t="shared" si="1117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27</v>
      </c>
      <c r="D463" s="21" t="str">
        <f>Spieltag!B451</f>
        <v>Arne Engels (A)</v>
      </c>
      <c r="E463" s="12" t="str">
        <f>Spieltag!C451</f>
        <v>Mittelfeld</v>
      </c>
      <c r="F463" s="13" t="s">
        <v>95</v>
      </c>
      <c r="G463" s="14"/>
      <c r="H463" s="15">
        <f t="shared" si="1109"/>
        <v>0</v>
      </c>
      <c r="I463" s="14"/>
      <c r="J463" s="15">
        <f t="shared" si="1110"/>
        <v>0</v>
      </c>
      <c r="K463" s="14"/>
      <c r="L463" s="15">
        <f t="shared" si="1111"/>
        <v>0</v>
      </c>
      <c r="M463" s="14"/>
      <c r="N463" s="15">
        <f t="shared" si="1112"/>
        <v>0</v>
      </c>
      <c r="O463" s="16">
        <f t="shared" si="1086"/>
        <v>10</v>
      </c>
      <c r="P463" s="16">
        <f t="shared" si="1087"/>
        <v>40</v>
      </c>
      <c r="Q463" s="16">
        <f t="shared" si="1113"/>
        <v>-40</v>
      </c>
      <c r="R463" s="14"/>
      <c r="S463" s="15">
        <f t="shared" si="1114"/>
        <v>0</v>
      </c>
      <c r="T463" s="14"/>
      <c r="U463" s="15">
        <f t="shared" si="1115"/>
        <v>0</v>
      </c>
      <c r="V463" s="16">
        <f t="shared" si="1116"/>
        <v>0</v>
      </c>
      <c r="W463" s="17">
        <f t="shared" si="1117"/>
        <v>0</v>
      </c>
    </row>
    <row r="464" spans="1:23" ht="10.5" hidden="1" customHeight="1" x14ac:dyDescent="0.2">
      <c r="A464" s="11"/>
      <c r="B464" s="149">
        <f>COUNTA(Spieltag!K452:AA452)</f>
        <v>0</v>
      </c>
      <c r="C464" s="166">
        <f>Spieltag!A452</f>
        <v>30</v>
      </c>
      <c r="D464" s="21" t="str">
        <f>Spieltag!B452</f>
        <v>Niklas Dorsch</v>
      </c>
      <c r="E464" s="12" t="str">
        <f>Spieltag!C452</f>
        <v>Mittelfeld</v>
      </c>
      <c r="F464" s="13" t="s">
        <v>95</v>
      </c>
      <c r="G464" s="14"/>
      <c r="H464" s="15">
        <f t="shared" si="1109"/>
        <v>0</v>
      </c>
      <c r="I464" s="14"/>
      <c r="J464" s="15">
        <f t="shared" si="1110"/>
        <v>0</v>
      </c>
      <c r="K464" s="14"/>
      <c r="L464" s="15">
        <f t="shared" si="1111"/>
        <v>0</v>
      </c>
      <c r="M464" s="14"/>
      <c r="N464" s="15">
        <f t="shared" si="1112"/>
        <v>0</v>
      </c>
      <c r="O464" s="16">
        <f t="shared" si="1086"/>
        <v>10</v>
      </c>
      <c r="P464" s="16">
        <f t="shared" si="1087"/>
        <v>40</v>
      </c>
      <c r="Q464" s="16">
        <f t="shared" si="1113"/>
        <v>-40</v>
      </c>
      <c r="R464" s="14"/>
      <c r="S464" s="15">
        <f t="shared" si="1114"/>
        <v>0</v>
      </c>
      <c r="T464" s="14"/>
      <c r="U464" s="15">
        <f t="shared" si="1115"/>
        <v>0</v>
      </c>
      <c r="V464" s="16">
        <f t="shared" si="1116"/>
        <v>0</v>
      </c>
      <c r="W464" s="17">
        <f t="shared" si="1117"/>
        <v>0</v>
      </c>
    </row>
    <row r="465" spans="1:23" ht="10.5" hidden="1" customHeight="1" x14ac:dyDescent="0.2">
      <c r="A465" s="11"/>
      <c r="B465" s="149">
        <f>COUNTA(Spieltag!K453:AA453)</f>
        <v>0</v>
      </c>
      <c r="C465" s="166">
        <f>Spieltag!A453</f>
        <v>36</v>
      </c>
      <c r="D465" s="21" t="str">
        <f>Spieltag!B453</f>
        <v>Mert Kömür</v>
      </c>
      <c r="E465" s="12" t="str">
        <f>Spieltag!C453</f>
        <v>Mittelfeld</v>
      </c>
      <c r="F465" s="13" t="s">
        <v>95</v>
      </c>
      <c r="G465" s="14"/>
      <c r="H465" s="15">
        <f t="shared" si="1109"/>
        <v>0</v>
      </c>
      <c r="I465" s="14"/>
      <c r="J465" s="15">
        <f t="shared" si="1110"/>
        <v>0</v>
      </c>
      <c r="K465" s="14"/>
      <c r="L465" s="15">
        <f t="shared" si="1111"/>
        <v>0</v>
      </c>
      <c r="M465" s="14"/>
      <c r="N465" s="15">
        <f t="shared" si="1112"/>
        <v>0</v>
      </c>
      <c r="O465" s="16">
        <f t="shared" si="1086"/>
        <v>10</v>
      </c>
      <c r="P465" s="16">
        <f t="shared" si="1087"/>
        <v>40</v>
      </c>
      <c r="Q465" s="16">
        <f t="shared" si="1113"/>
        <v>-40</v>
      </c>
      <c r="R465" s="14"/>
      <c r="S465" s="15">
        <f t="shared" si="1114"/>
        <v>0</v>
      </c>
      <c r="T465" s="14"/>
      <c r="U465" s="15">
        <f t="shared" si="1115"/>
        <v>0</v>
      </c>
      <c r="V465" s="16">
        <f t="shared" si="1116"/>
        <v>0</v>
      </c>
      <c r="W465" s="17">
        <f t="shared" si="1117"/>
        <v>0</v>
      </c>
    </row>
    <row r="466" spans="1:23" ht="10.5" hidden="1" customHeight="1" x14ac:dyDescent="0.2">
      <c r="A466" s="11"/>
      <c r="B466" s="149">
        <f>COUNTA(Spieltag!K454:AA454)</f>
        <v>0</v>
      </c>
      <c r="C466" s="166">
        <f>Spieltag!A454</f>
        <v>7</v>
      </c>
      <c r="D466" s="21" t="str">
        <f>Spieltag!B454</f>
        <v>Dion Beljo (A)</v>
      </c>
      <c r="E466" s="12" t="str">
        <f>Spieltag!C454</f>
        <v>Sturm</v>
      </c>
      <c r="F466" s="13" t="s">
        <v>95</v>
      </c>
      <c r="G466" s="14"/>
      <c r="H466" s="15">
        <f>IF(G466="x",10,0)</f>
        <v>0</v>
      </c>
      <c r="I466" s="14"/>
      <c r="J466" s="15">
        <f>IF((I466="x"),-10,0)</f>
        <v>0</v>
      </c>
      <c r="K466" s="14"/>
      <c r="L466" s="15">
        <f>IF((K466="x"),-20,0)</f>
        <v>0</v>
      </c>
      <c r="M466" s="14"/>
      <c r="N466" s="15">
        <f>IF((M466="x"),-30,0)</f>
        <v>0</v>
      </c>
      <c r="O466" s="16">
        <f t="shared" ref="O466:O472" si="1118">IF(AND($V$7&gt;$W$7),20,IF($V$7=$W$7,10,0))</f>
        <v>10</v>
      </c>
      <c r="P466" s="16">
        <f t="shared" ref="P466:P472" si="1119">IF(($V$7&lt;&gt;0),$V$7*10,-5)</f>
        <v>40</v>
      </c>
      <c r="Q466" s="16">
        <f t="shared" ref="Q466:Q472" si="1120">IF(($W$7&lt;&gt;0),$W$7*-10,5)</f>
        <v>-40</v>
      </c>
      <c r="R466" s="14"/>
      <c r="S466" s="15">
        <f>R466*10</f>
        <v>0</v>
      </c>
      <c r="T466" s="14"/>
      <c r="U466" s="15">
        <f>T466*-15</f>
        <v>0</v>
      </c>
      <c r="V466" s="16">
        <f>IF(AND(R466=2),10,IF(R466=3,30,IF(R466=4,50,IF(R466=5,70,0))))</f>
        <v>0</v>
      </c>
      <c r="W466" s="17">
        <f>IF(G466="x",H466+J466+L466+N466+O466+P466+Q466+S466+U466+V466,0)</f>
        <v>0</v>
      </c>
    </row>
    <row r="467" spans="1:23" ht="10.5" hidden="1" customHeight="1" x14ac:dyDescent="0.2">
      <c r="A467" s="11"/>
      <c r="B467" s="149">
        <f>COUNTA(Spieltag!K455:AA455)</f>
        <v>0</v>
      </c>
      <c r="C467" s="166">
        <f>Spieltag!A455</f>
        <v>9</v>
      </c>
      <c r="D467" s="21" t="str">
        <f>Spieltag!B455</f>
        <v>Ermedin Demirovic (A)</v>
      </c>
      <c r="E467" s="12" t="str">
        <f>Spieltag!C455</f>
        <v>Sturm</v>
      </c>
      <c r="F467" s="13" t="s">
        <v>95</v>
      </c>
      <c r="G467" s="14"/>
      <c r="H467" s="15">
        <f t="shared" ref="H467:H472" si="1121">IF(G467="x",10,0)</f>
        <v>0</v>
      </c>
      <c r="I467" s="14"/>
      <c r="J467" s="15">
        <f t="shared" ref="J467:J472" si="1122">IF((I467="x"),-10,0)</f>
        <v>0</v>
      </c>
      <c r="K467" s="14"/>
      <c r="L467" s="15">
        <f t="shared" ref="L467:L472" si="1123">IF((K467="x"),-20,0)</f>
        <v>0</v>
      </c>
      <c r="M467" s="14"/>
      <c r="N467" s="15">
        <f t="shared" ref="N467:N472" si="1124">IF((M467="x"),-30,0)</f>
        <v>0</v>
      </c>
      <c r="O467" s="16">
        <f t="shared" si="1118"/>
        <v>10</v>
      </c>
      <c r="P467" s="16">
        <f t="shared" si="1119"/>
        <v>40</v>
      </c>
      <c r="Q467" s="16">
        <f t="shared" si="1120"/>
        <v>-40</v>
      </c>
      <c r="R467" s="14"/>
      <c r="S467" s="15">
        <f t="shared" ref="S467:S472" si="1125">R467*10</f>
        <v>0</v>
      </c>
      <c r="T467" s="14"/>
      <c r="U467" s="15">
        <f t="shared" ref="U467:U472" si="1126">T467*-15</f>
        <v>0</v>
      </c>
      <c r="V467" s="16">
        <f t="shared" ref="V467:V472" si="1127">IF(AND(R467=2),10,IF(R467=3,30,IF(R467=4,50,IF(R467=5,70,0))))</f>
        <v>0</v>
      </c>
      <c r="W467" s="17">
        <f t="shared" ref="W467:W472" si="1128">IF(G467="x",H467+J467+L467+N467+O467+P467+Q467+S467+U467+V467,0)</f>
        <v>0</v>
      </c>
    </row>
    <row r="468" spans="1:23" ht="10.5" hidden="1" customHeight="1" x14ac:dyDescent="0.2">
      <c r="A468" s="11"/>
      <c r="B468" s="149">
        <f>COUNTA(Spieltag!K456:AA456)</f>
        <v>0</v>
      </c>
      <c r="C468" s="166">
        <f>Spieltag!A456</f>
        <v>11</v>
      </c>
      <c r="D468" s="21" t="str">
        <f>Spieltag!B456</f>
        <v>Mergin Berisha</v>
      </c>
      <c r="E468" s="12" t="str">
        <f>Spieltag!C456</f>
        <v>Sturm</v>
      </c>
      <c r="F468" s="13" t="s">
        <v>95</v>
      </c>
      <c r="G468" s="14"/>
      <c r="H468" s="15">
        <f t="shared" si="1121"/>
        <v>0</v>
      </c>
      <c r="I468" s="14"/>
      <c r="J468" s="15">
        <f t="shared" si="1122"/>
        <v>0</v>
      </c>
      <c r="K468" s="14"/>
      <c r="L468" s="15">
        <f t="shared" si="1123"/>
        <v>0</v>
      </c>
      <c r="M468" s="14"/>
      <c r="N468" s="15">
        <f t="shared" si="1124"/>
        <v>0</v>
      </c>
      <c r="O468" s="16">
        <f t="shared" si="1118"/>
        <v>10</v>
      </c>
      <c r="P468" s="16">
        <f t="shared" si="1119"/>
        <v>40</v>
      </c>
      <c r="Q468" s="16">
        <f t="shared" si="1120"/>
        <v>-40</v>
      </c>
      <c r="R468" s="14"/>
      <c r="S468" s="15">
        <f t="shared" si="1125"/>
        <v>0</v>
      </c>
      <c r="T468" s="14"/>
      <c r="U468" s="15">
        <f t="shared" si="1126"/>
        <v>0</v>
      </c>
      <c r="V468" s="16">
        <f t="shared" si="1127"/>
        <v>0</v>
      </c>
      <c r="W468" s="17">
        <f t="shared" si="1128"/>
        <v>0</v>
      </c>
    </row>
    <row r="469" spans="1:23" ht="10.5" hidden="1" customHeight="1" x14ac:dyDescent="0.2">
      <c r="A469" s="11"/>
      <c r="B469" s="149">
        <f>COUNTA(Spieltag!K457:AA457)</f>
        <v>0</v>
      </c>
      <c r="C469" s="166">
        <f>Spieltag!A457</f>
        <v>20</v>
      </c>
      <c r="D469" s="21" t="str">
        <f>Spieltag!B457</f>
        <v>Sven Michel</v>
      </c>
      <c r="E469" s="12" t="str">
        <f>Spieltag!C457</f>
        <v>Sturm</v>
      </c>
      <c r="F469" s="13" t="s">
        <v>95</v>
      </c>
      <c r="G469" s="14"/>
      <c r="H469" s="15">
        <f t="shared" si="1121"/>
        <v>0</v>
      </c>
      <c r="I469" s="14"/>
      <c r="J469" s="15">
        <f t="shared" si="1122"/>
        <v>0</v>
      </c>
      <c r="K469" s="14"/>
      <c r="L469" s="15">
        <f t="shared" si="1123"/>
        <v>0</v>
      </c>
      <c r="M469" s="14"/>
      <c r="N469" s="15">
        <f t="shared" si="1124"/>
        <v>0</v>
      </c>
      <c r="O469" s="16">
        <f t="shared" si="1118"/>
        <v>10</v>
      </c>
      <c r="P469" s="16">
        <f t="shared" si="1119"/>
        <v>40</v>
      </c>
      <c r="Q469" s="16">
        <f t="shared" si="1120"/>
        <v>-40</v>
      </c>
      <c r="R469" s="14"/>
      <c r="S469" s="15">
        <f t="shared" si="1125"/>
        <v>0</v>
      </c>
      <c r="T469" s="14"/>
      <c r="U469" s="15">
        <f t="shared" si="1126"/>
        <v>0</v>
      </c>
      <c r="V469" s="16">
        <f t="shared" si="1127"/>
        <v>0</v>
      </c>
      <c r="W469" s="17">
        <f t="shared" si="1128"/>
        <v>0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21</v>
      </c>
      <c r="D470" s="21" t="str">
        <f>Spieltag!B458</f>
        <v>Phillip Tietz</v>
      </c>
      <c r="E470" s="12" t="str">
        <f>Spieltag!C458</f>
        <v>Sturm</v>
      </c>
      <c r="F470" s="13" t="s">
        <v>95</v>
      </c>
      <c r="G470" s="14"/>
      <c r="H470" s="15">
        <f t="shared" si="1121"/>
        <v>0</v>
      </c>
      <c r="I470" s="14"/>
      <c r="J470" s="15">
        <f t="shared" si="1122"/>
        <v>0</v>
      </c>
      <c r="K470" s="14"/>
      <c r="L470" s="15">
        <f t="shared" si="1123"/>
        <v>0</v>
      </c>
      <c r="M470" s="14"/>
      <c r="N470" s="15">
        <f t="shared" si="1124"/>
        <v>0</v>
      </c>
      <c r="O470" s="16">
        <f t="shared" si="1118"/>
        <v>10</v>
      </c>
      <c r="P470" s="16">
        <f t="shared" si="1119"/>
        <v>40</v>
      </c>
      <c r="Q470" s="16">
        <f t="shared" si="1120"/>
        <v>-40</v>
      </c>
      <c r="R470" s="14"/>
      <c r="S470" s="15">
        <f t="shared" si="1125"/>
        <v>0</v>
      </c>
      <c r="T470" s="14"/>
      <c r="U470" s="15">
        <f t="shared" si="1126"/>
        <v>0</v>
      </c>
      <c r="V470" s="16">
        <f t="shared" si="1127"/>
        <v>0</v>
      </c>
      <c r="W470" s="17">
        <f t="shared" si="1128"/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34</v>
      </c>
      <c r="D471" s="21" t="str">
        <f>Spieltag!B459</f>
        <v>Nathanael Mbuku (A)</v>
      </c>
      <c r="E471" s="12" t="str">
        <f>Spieltag!C459</f>
        <v>Sturm</v>
      </c>
      <c r="F471" s="13" t="s">
        <v>95</v>
      </c>
      <c r="G471" s="14"/>
      <c r="H471" s="15">
        <f t="shared" si="1121"/>
        <v>0</v>
      </c>
      <c r="I471" s="14"/>
      <c r="J471" s="15">
        <f t="shared" si="1122"/>
        <v>0</v>
      </c>
      <c r="K471" s="14"/>
      <c r="L471" s="15">
        <f t="shared" si="1123"/>
        <v>0</v>
      </c>
      <c r="M471" s="14"/>
      <c r="N471" s="15">
        <f t="shared" si="1124"/>
        <v>0</v>
      </c>
      <c r="O471" s="16">
        <f t="shared" si="1118"/>
        <v>10</v>
      </c>
      <c r="P471" s="16">
        <f t="shared" si="1119"/>
        <v>40</v>
      </c>
      <c r="Q471" s="16">
        <f t="shared" si="1120"/>
        <v>-40</v>
      </c>
      <c r="R471" s="14"/>
      <c r="S471" s="15">
        <f t="shared" si="1125"/>
        <v>0</v>
      </c>
      <c r="T471" s="14"/>
      <c r="U471" s="15">
        <f t="shared" si="1126"/>
        <v>0</v>
      </c>
      <c r="V471" s="16">
        <f t="shared" si="1127"/>
        <v>0</v>
      </c>
      <c r="W471" s="17">
        <f t="shared" si="1128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48</v>
      </c>
      <c r="D472" s="21" t="str">
        <f>Spieltag!B460</f>
        <v>Irvin Cardona (A)</v>
      </c>
      <c r="E472" s="12" t="str">
        <f>Spieltag!C460</f>
        <v>Sturm</v>
      </c>
      <c r="F472" s="13" t="s">
        <v>95</v>
      </c>
      <c r="G472" s="14"/>
      <c r="H472" s="15">
        <f t="shared" si="1121"/>
        <v>0</v>
      </c>
      <c r="I472" s="14"/>
      <c r="J472" s="15">
        <f t="shared" si="1122"/>
        <v>0</v>
      </c>
      <c r="K472" s="14"/>
      <c r="L472" s="15">
        <f t="shared" si="1123"/>
        <v>0</v>
      </c>
      <c r="M472" s="14"/>
      <c r="N472" s="15">
        <f t="shared" si="1124"/>
        <v>0</v>
      </c>
      <c r="O472" s="16">
        <f t="shared" si="1118"/>
        <v>10</v>
      </c>
      <c r="P472" s="16">
        <f t="shared" si="1119"/>
        <v>40</v>
      </c>
      <c r="Q472" s="16">
        <f t="shared" si="1120"/>
        <v>-40</v>
      </c>
      <c r="R472" s="14"/>
      <c r="S472" s="15">
        <f t="shared" si="1125"/>
        <v>0</v>
      </c>
      <c r="T472" s="14"/>
      <c r="U472" s="15">
        <f t="shared" si="1126"/>
        <v>0</v>
      </c>
      <c r="V472" s="16">
        <f t="shared" si="1127"/>
        <v>0</v>
      </c>
      <c r="W472" s="17">
        <f t="shared" si="1128"/>
        <v>0</v>
      </c>
    </row>
    <row r="473" spans="1:23" s="144" customFormat="1" ht="17.25" hidden="1" thickBot="1" x14ac:dyDescent="0.25">
      <c r="A473" s="142"/>
      <c r="B473" s="143">
        <f>SUM(B474:B506)</f>
        <v>0</v>
      </c>
      <c r="C473" s="158"/>
      <c r="D473" s="221" t="s">
        <v>236</v>
      </c>
      <c r="E473" s="221"/>
      <c r="F473" s="221"/>
      <c r="G473" s="221"/>
      <c r="H473" s="221"/>
      <c r="I473" s="221"/>
      <c r="J473" s="221"/>
      <c r="K473" s="221"/>
      <c r="L473" s="221"/>
      <c r="M473" s="221"/>
      <c r="N473" s="221"/>
      <c r="O473" s="221"/>
      <c r="P473" s="221"/>
      <c r="Q473" s="221"/>
      <c r="R473" s="221"/>
      <c r="S473" s="221"/>
      <c r="T473" s="221"/>
      <c r="U473" s="221"/>
      <c r="V473" s="221"/>
      <c r="W473" s="222"/>
    </row>
    <row r="474" spans="1:23" ht="10.5" hidden="1" customHeight="1" x14ac:dyDescent="0.2">
      <c r="A474" s="11"/>
      <c r="B474" s="150">
        <f>COUNTA(Spieltag!K462:AA462)</f>
        <v>0</v>
      </c>
      <c r="C474" s="166">
        <f>Spieltag!A462</f>
        <v>1</v>
      </c>
      <c r="D474" s="21" t="str">
        <f>Spieltag!B462</f>
        <v>Fabian Bredlow</v>
      </c>
      <c r="E474" s="151" t="str">
        <f>Spieltag!C462</f>
        <v>Torwart</v>
      </c>
      <c r="F474" s="152" t="s">
        <v>235</v>
      </c>
      <c r="G474" s="153"/>
      <c r="H474" s="154">
        <f t="shared" ref="H474:H476" si="1129">IF(G474="x",10,0)</f>
        <v>0</v>
      </c>
      <c r="I474" s="153"/>
      <c r="J474" s="154">
        <f t="shared" ref="J474:J476" si="1130">IF((I474="x"),-10,0)</f>
        <v>0</v>
      </c>
      <c r="K474" s="153"/>
      <c r="L474" s="154">
        <f t="shared" ref="L474:L476" si="1131">IF((K474="x"),-20,0)</f>
        <v>0</v>
      </c>
      <c r="M474" s="153"/>
      <c r="N474" s="154">
        <f t="shared" ref="N474:N476" si="1132">IF((M474="x"),-30,0)</f>
        <v>0</v>
      </c>
      <c r="O474" s="155">
        <f t="shared" ref="O474:O477" si="1133">IF(AND($P$10&gt;$Q$10),20,IF($P$10=$Q$10,10,0))</f>
        <v>20</v>
      </c>
      <c r="P474" s="155">
        <f t="shared" ref="P474:P477" si="1134">IF(($P$10&lt;&gt;0),$P$10*10,-5)</f>
        <v>50</v>
      </c>
      <c r="Q474" s="155">
        <f t="shared" ref="Q474:Q477" si="1135">IF(($Q$10&lt;&gt;0),$Q$10*-10,20)</f>
        <v>20</v>
      </c>
      <c r="R474" s="153"/>
      <c r="S474" s="154">
        <f t="shared" ref="S474:S476" si="1136">R474*20</f>
        <v>0</v>
      </c>
      <c r="T474" s="153"/>
      <c r="U474" s="154">
        <f t="shared" ref="U474:U476" si="1137">T474*-15</f>
        <v>0</v>
      </c>
      <c r="V474" s="155">
        <f t="shared" ref="V474:V476" si="1138">IF(AND(R474=2),10,IF(R474=3,30,IF(R474=4,50,IF(R474=5,70,0))))</f>
        <v>0</v>
      </c>
      <c r="W474" s="156">
        <f t="shared" ref="W474:W476" si="1139">IF(G474="x",H474+J474+L474+N474+O474+P474+Q474+S474+U474+V474,0)</f>
        <v>0</v>
      </c>
    </row>
    <row r="475" spans="1:23" ht="10.5" hidden="1" customHeight="1" x14ac:dyDescent="0.2">
      <c r="A475" s="11"/>
      <c r="B475" s="150">
        <f>COUNTA(Spieltag!K463:AA463)</f>
        <v>0</v>
      </c>
      <c r="C475" s="166">
        <f>Spieltag!A463</f>
        <v>33</v>
      </c>
      <c r="D475" s="21" t="str">
        <f>Spieltag!B463</f>
        <v>Alexander Nübel</v>
      </c>
      <c r="E475" s="151" t="str">
        <f>Spieltag!C463</f>
        <v>Torwart</v>
      </c>
      <c r="F475" s="152" t="s">
        <v>235</v>
      </c>
      <c r="G475" s="153"/>
      <c r="H475" s="154">
        <f t="shared" si="1129"/>
        <v>0</v>
      </c>
      <c r="I475" s="153"/>
      <c r="J475" s="154">
        <f t="shared" si="1130"/>
        <v>0</v>
      </c>
      <c r="K475" s="153"/>
      <c r="L475" s="154">
        <f t="shared" si="1131"/>
        <v>0</v>
      </c>
      <c r="M475" s="153"/>
      <c r="N475" s="154">
        <f t="shared" si="1132"/>
        <v>0</v>
      </c>
      <c r="O475" s="155">
        <f t="shared" si="1133"/>
        <v>20</v>
      </c>
      <c r="P475" s="155">
        <f t="shared" si="1134"/>
        <v>50</v>
      </c>
      <c r="Q475" s="155">
        <f t="shared" si="1135"/>
        <v>20</v>
      </c>
      <c r="R475" s="153"/>
      <c r="S475" s="154">
        <f t="shared" si="1136"/>
        <v>0</v>
      </c>
      <c r="T475" s="153"/>
      <c r="U475" s="154">
        <f t="shared" si="1137"/>
        <v>0</v>
      </c>
      <c r="V475" s="155">
        <f t="shared" si="1138"/>
        <v>0</v>
      </c>
      <c r="W475" s="156">
        <f t="shared" si="1139"/>
        <v>0</v>
      </c>
    </row>
    <row r="476" spans="1:23" ht="10.5" hidden="1" customHeight="1" x14ac:dyDescent="0.2">
      <c r="A476" s="11"/>
      <c r="B476" s="150">
        <f>COUNTA(Spieltag!K464:AA464)</f>
        <v>0</v>
      </c>
      <c r="C476" s="166">
        <f>Spieltag!A464</f>
        <v>41</v>
      </c>
      <c r="D476" s="21" t="str">
        <f>Spieltag!B464</f>
        <v>Dennis Seimen</v>
      </c>
      <c r="E476" s="151" t="str">
        <f>Spieltag!C464</f>
        <v>Torwart</v>
      </c>
      <c r="F476" s="152" t="s">
        <v>235</v>
      </c>
      <c r="G476" s="153"/>
      <c r="H476" s="154">
        <f t="shared" si="1129"/>
        <v>0</v>
      </c>
      <c r="I476" s="153"/>
      <c r="J476" s="154">
        <f t="shared" si="1130"/>
        <v>0</v>
      </c>
      <c r="K476" s="153"/>
      <c r="L476" s="154">
        <f t="shared" si="1131"/>
        <v>0</v>
      </c>
      <c r="M476" s="153"/>
      <c r="N476" s="154">
        <f t="shared" si="1132"/>
        <v>0</v>
      </c>
      <c r="O476" s="155">
        <f t="shared" si="1133"/>
        <v>20</v>
      </c>
      <c r="P476" s="155">
        <f t="shared" si="1134"/>
        <v>50</v>
      </c>
      <c r="Q476" s="155">
        <f t="shared" si="1135"/>
        <v>20</v>
      </c>
      <c r="R476" s="153"/>
      <c r="S476" s="154">
        <f t="shared" si="1136"/>
        <v>0</v>
      </c>
      <c r="T476" s="153"/>
      <c r="U476" s="154">
        <f t="shared" si="1137"/>
        <v>0</v>
      </c>
      <c r="V476" s="155">
        <f t="shared" si="1138"/>
        <v>0</v>
      </c>
      <c r="W476" s="156">
        <f t="shared" si="1139"/>
        <v>0</v>
      </c>
    </row>
    <row r="477" spans="1:23" ht="10.5" hidden="1" customHeight="1" x14ac:dyDescent="0.2">
      <c r="A477" s="11"/>
      <c r="B477" s="150">
        <f>COUNTA(Spieltag!K465:AA465)</f>
        <v>0</v>
      </c>
      <c r="C477" s="166">
        <f>Spieltag!A465</f>
        <v>42</v>
      </c>
      <c r="D477" s="21" t="str">
        <f>Spieltag!B465</f>
        <v>Florian Schock</v>
      </c>
      <c r="E477" s="151" t="str">
        <f>Spieltag!C465</f>
        <v>Torwart</v>
      </c>
      <c r="F477" s="152" t="s">
        <v>235</v>
      </c>
      <c r="G477" s="153"/>
      <c r="H477" s="154">
        <f t="shared" ref="H477" si="1140">IF(G477="x",10,0)</f>
        <v>0</v>
      </c>
      <c r="I477" s="153"/>
      <c r="J477" s="154">
        <f t="shared" ref="J477" si="1141">IF((I477="x"),-10,0)</f>
        <v>0</v>
      </c>
      <c r="K477" s="153"/>
      <c r="L477" s="154">
        <f t="shared" ref="L477" si="1142">IF((K477="x"),-20,0)</f>
        <v>0</v>
      </c>
      <c r="M477" s="153"/>
      <c r="N477" s="154">
        <f t="shared" ref="N477" si="1143">IF((M477="x"),-30,0)</f>
        <v>0</v>
      </c>
      <c r="O477" s="155">
        <f t="shared" si="1133"/>
        <v>20</v>
      </c>
      <c r="P477" s="155">
        <f t="shared" si="1134"/>
        <v>50</v>
      </c>
      <c r="Q477" s="155">
        <f t="shared" si="1135"/>
        <v>20</v>
      </c>
      <c r="R477" s="153"/>
      <c r="S477" s="154">
        <f t="shared" ref="S477" si="1144">R477*20</f>
        <v>0</v>
      </c>
      <c r="T477" s="153"/>
      <c r="U477" s="154">
        <f t="shared" ref="U477" si="1145">T477*-15</f>
        <v>0</v>
      </c>
      <c r="V477" s="155">
        <f t="shared" ref="V477" si="1146">IF(AND(R477=2),10,IF(R477=3,30,IF(R477=4,50,IF(R477=5,70,0))))</f>
        <v>0</v>
      </c>
      <c r="W477" s="156">
        <f t="shared" ref="W477" si="1147">IF(G477="x",H477+J477+L477+N477+O477+P477+Q477+S477+U477+V477,0)</f>
        <v>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2</v>
      </c>
      <c r="D478" s="21" t="str">
        <f>Spieltag!B466</f>
        <v>Waldemar Anton</v>
      </c>
      <c r="E478" s="12" t="str">
        <f>Spieltag!C466</f>
        <v>Abwehr</v>
      </c>
      <c r="F478" s="152" t="s">
        <v>235</v>
      </c>
      <c r="G478" s="14"/>
      <c r="H478" s="15">
        <f t="shared" ref="H478:H487" si="1148">IF(G478="x",10,0)</f>
        <v>0</v>
      </c>
      <c r="I478" s="14"/>
      <c r="J478" s="15">
        <f t="shared" ref="J478:J487" si="1149">IF((I478="x"),-10,0)</f>
        <v>0</v>
      </c>
      <c r="K478" s="14"/>
      <c r="L478" s="15">
        <f t="shared" ref="L478:L487" si="1150">IF((K478="x"),-20,0)</f>
        <v>0</v>
      </c>
      <c r="M478" s="14"/>
      <c r="N478" s="15">
        <f t="shared" ref="N478:N487" si="1151">IF((M478="x"),-30,0)</f>
        <v>0</v>
      </c>
      <c r="O478" s="16">
        <f t="shared" ref="O478:O486" si="1152">IF(AND($P$10&gt;$Q$10),20,IF($P$10=$Q$10,10,0))</f>
        <v>20</v>
      </c>
      <c r="P478" s="16">
        <f t="shared" ref="P478:P486" si="1153">IF(($P$10&lt;&gt;0),$P$10*10,-5)</f>
        <v>50</v>
      </c>
      <c r="Q478" s="16">
        <f t="shared" ref="Q478:Q486" si="1154">IF(($Q$10&lt;&gt;0),$Q$10*-10,15)</f>
        <v>15</v>
      </c>
      <c r="R478" s="14"/>
      <c r="S478" s="15">
        <f t="shared" ref="S478" si="1155">R478*15</f>
        <v>0</v>
      </c>
      <c r="T478" s="14"/>
      <c r="U478" s="15">
        <f t="shared" ref="U478:U487" si="1156">T478*-15</f>
        <v>0</v>
      </c>
      <c r="V478" s="16">
        <f t="shared" ref="V478:V487" si="1157">IF(AND(R478=2),10,IF(R478=3,30,IF(R478=4,50,IF(R478=5,70,0))))</f>
        <v>0</v>
      </c>
      <c r="W478" s="17">
        <f t="shared" ref="W478:W487" si="1158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4</v>
      </c>
      <c r="D479" s="21" t="str">
        <f>Spieltag!B467</f>
        <v>Josha Vagnoman</v>
      </c>
      <c r="E479" s="12" t="str">
        <f>Spieltag!C467</f>
        <v>Abwehr</v>
      </c>
      <c r="F479" s="152" t="s">
        <v>235</v>
      </c>
      <c r="G479" s="14"/>
      <c r="H479" s="15">
        <f t="shared" ref="H479:H486" si="1159">IF(G479="x",10,0)</f>
        <v>0</v>
      </c>
      <c r="I479" s="14"/>
      <c r="J479" s="15">
        <f t="shared" ref="J479:J486" si="1160">IF((I479="x"),-10,0)</f>
        <v>0</v>
      </c>
      <c r="K479" s="14"/>
      <c r="L479" s="15">
        <f t="shared" ref="L479:L486" si="1161">IF((K479="x"),-20,0)</f>
        <v>0</v>
      </c>
      <c r="M479" s="14"/>
      <c r="N479" s="15">
        <f t="shared" ref="N479:N486" si="1162">IF((M479="x"),-30,0)</f>
        <v>0</v>
      </c>
      <c r="O479" s="16">
        <f t="shared" si="1152"/>
        <v>20</v>
      </c>
      <c r="P479" s="16">
        <f t="shared" si="1153"/>
        <v>50</v>
      </c>
      <c r="Q479" s="16">
        <f t="shared" si="1154"/>
        <v>15</v>
      </c>
      <c r="R479" s="14"/>
      <c r="S479" s="15">
        <f t="shared" ref="S479:S486" si="1163">R479*15</f>
        <v>0</v>
      </c>
      <c r="T479" s="14"/>
      <c r="U479" s="15">
        <f t="shared" ref="U479:U486" si="1164">T479*-15</f>
        <v>0</v>
      </c>
      <c r="V479" s="16">
        <f t="shared" ref="V479:V486" si="1165">IF(AND(R479=2),10,IF(R479=3,30,IF(R479=4,50,IF(R479=5,70,0))))</f>
        <v>0</v>
      </c>
      <c r="W479" s="17">
        <f t="shared" ref="W479:W486" si="1166">IF(G479="x",H479+J479+L479+N479+O479+P479+Q479+S479+U479+V479,0)</f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5</v>
      </c>
      <c r="D480" s="21" t="str">
        <f>Spieltag!B468</f>
        <v>Konstantinos Mavropanos (A)</v>
      </c>
      <c r="E480" s="12" t="str">
        <f>Spieltag!C468</f>
        <v>Abwehr</v>
      </c>
      <c r="F480" s="152" t="s">
        <v>235</v>
      </c>
      <c r="G480" s="14"/>
      <c r="H480" s="15">
        <f t="shared" si="1159"/>
        <v>0</v>
      </c>
      <c r="I480" s="14"/>
      <c r="J480" s="15">
        <f t="shared" si="1160"/>
        <v>0</v>
      </c>
      <c r="K480" s="14"/>
      <c r="L480" s="15">
        <f t="shared" si="1161"/>
        <v>0</v>
      </c>
      <c r="M480" s="14"/>
      <c r="N480" s="15">
        <f t="shared" si="1162"/>
        <v>0</v>
      </c>
      <c r="O480" s="16">
        <f t="shared" si="1152"/>
        <v>20</v>
      </c>
      <c r="P480" s="16">
        <f t="shared" si="1153"/>
        <v>50</v>
      </c>
      <c r="Q480" s="16">
        <f t="shared" si="1154"/>
        <v>15</v>
      </c>
      <c r="R480" s="14"/>
      <c r="S480" s="15">
        <f t="shared" si="1163"/>
        <v>0</v>
      </c>
      <c r="T480" s="14"/>
      <c r="U480" s="15">
        <f t="shared" si="1164"/>
        <v>0</v>
      </c>
      <c r="V480" s="16">
        <f t="shared" si="1165"/>
        <v>0</v>
      </c>
      <c r="W480" s="17">
        <f t="shared" si="1166"/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7</v>
      </c>
      <c r="D481" s="21" t="str">
        <f>Spieltag!B469</f>
        <v>Maximilian Mittelstädt</v>
      </c>
      <c r="E481" s="12" t="str">
        <f>Spieltag!C469</f>
        <v>Abwehr</v>
      </c>
      <c r="F481" s="152" t="s">
        <v>235</v>
      </c>
      <c r="G481" s="14"/>
      <c r="H481" s="15">
        <f t="shared" si="1159"/>
        <v>0</v>
      </c>
      <c r="I481" s="14"/>
      <c r="J481" s="15">
        <f t="shared" si="1160"/>
        <v>0</v>
      </c>
      <c r="K481" s="14"/>
      <c r="L481" s="15">
        <f t="shared" si="1161"/>
        <v>0</v>
      </c>
      <c r="M481" s="14"/>
      <c r="N481" s="15">
        <f t="shared" si="1162"/>
        <v>0</v>
      </c>
      <c r="O481" s="16">
        <f t="shared" si="1152"/>
        <v>20</v>
      </c>
      <c r="P481" s="16">
        <f t="shared" si="1153"/>
        <v>50</v>
      </c>
      <c r="Q481" s="16">
        <f t="shared" si="1154"/>
        <v>15</v>
      </c>
      <c r="R481" s="14"/>
      <c r="S481" s="15">
        <f t="shared" si="1163"/>
        <v>0</v>
      </c>
      <c r="T481" s="14"/>
      <c r="U481" s="15">
        <f t="shared" si="1164"/>
        <v>0</v>
      </c>
      <c r="V481" s="16">
        <f t="shared" si="1165"/>
        <v>0</v>
      </c>
      <c r="W481" s="17">
        <f t="shared" si="1166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15</v>
      </c>
      <c r="D482" s="21" t="str">
        <f>Spieltag!B470</f>
        <v>Pascal Stenzel</v>
      </c>
      <c r="E482" s="12" t="str">
        <f>Spieltag!C470</f>
        <v>Abwehr</v>
      </c>
      <c r="F482" s="152" t="s">
        <v>235</v>
      </c>
      <c r="G482" s="14"/>
      <c r="H482" s="15">
        <f t="shared" si="1159"/>
        <v>0</v>
      </c>
      <c r="I482" s="14"/>
      <c r="J482" s="15">
        <f t="shared" si="1160"/>
        <v>0</v>
      </c>
      <c r="K482" s="14"/>
      <c r="L482" s="15">
        <f t="shared" si="1161"/>
        <v>0</v>
      </c>
      <c r="M482" s="14"/>
      <c r="N482" s="15">
        <f t="shared" si="1162"/>
        <v>0</v>
      </c>
      <c r="O482" s="16">
        <f t="shared" si="1152"/>
        <v>20</v>
      </c>
      <c r="P482" s="16">
        <f t="shared" si="1153"/>
        <v>50</v>
      </c>
      <c r="Q482" s="16">
        <f t="shared" si="1154"/>
        <v>15</v>
      </c>
      <c r="R482" s="14"/>
      <c r="S482" s="15">
        <f t="shared" si="1163"/>
        <v>0</v>
      </c>
      <c r="T482" s="14"/>
      <c r="U482" s="15">
        <f t="shared" si="1164"/>
        <v>0</v>
      </c>
      <c r="V482" s="16">
        <f t="shared" si="1165"/>
        <v>0</v>
      </c>
      <c r="W482" s="17">
        <f t="shared" si="1166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16</v>
      </c>
      <c r="D483" s="21" t="str">
        <f>Spieltag!B471</f>
        <v>Atakan Karazor</v>
      </c>
      <c r="E483" s="12" t="str">
        <f>Spieltag!C471</f>
        <v>Abwehr</v>
      </c>
      <c r="F483" s="152" t="s">
        <v>235</v>
      </c>
      <c r="G483" s="14"/>
      <c r="H483" s="15">
        <f t="shared" si="1159"/>
        <v>0</v>
      </c>
      <c r="I483" s="14"/>
      <c r="J483" s="15">
        <f t="shared" si="1160"/>
        <v>0</v>
      </c>
      <c r="K483" s="14"/>
      <c r="L483" s="15">
        <f t="shared" si="1161"/>
        <v>0</v>
      </c>
      <c r="M483" s="14"/>
      <c r="N483" s="15">
        <f t="shared" si="1162"/>
        <v>0</v>
      </c>
      <c r="O483" s="16">
        <f t="shared" si="1152"/>
        <v>20</v>
      </c>
      <c r="P483" s="16">
        <f t="shared" si="1153"/>
        <v>50</v>
      </c>
      <c r="Q483" s="16">
        <f t="shared" si="1154"/>
        <v>15</v>
      </c>
      <c r="R483" s="14"/>
      <c r="S483" s="15">
        <f t="shared" si="1163"/>
        <v>0</v>
      </c>
      <c r="T483" s="14"/>
      <c r="U483" s="15">
        <f t="shared" si="1164"/>
        <v>0</v>
      </c>
      <c r="V483" s="16">
        <f t="shared" si="1165"/>
        <v>0</v>
      </c>
      <c r="W483" s="17">
        <f t="shared" si="1166"/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21</v>
      </c>
      <c r="D484" s="21" t="str">
        <f>Spieltag!B472</f>
        <v>Hikori Ito (A)</v>
      </c>
      <c r="E484" s="12" t="str">
        <f>Spieltag!C472</f>
        <v>Abwehr</v>
      </c>
      <c r="F484" s="152" t="s">
        <v>235</v>
      </c>
      <c r="G484" s="14"/>
      <c r="H484" s="15">
        <f t="shared" si="1159"/>
        <v>0</v>
      </c>
      <c r="I484" s="14"/>
      <c r="J484" s="15">
        <f t="shared" si="1160"/>
        <v>0</v>
      </c>
      <c r="K484" s="14"/>
      <c r="L484" s="15">
        <f t="shared" si="1161"/>
        <v>0</v>
      </c>
      <c r="M484" s="14"/>
      <c r="N484" s="15">
        <f t="shared" si="1162"/>
        <v>0</v>
      </c>
      <c r="O484" s="16">
        <f t="shared" si="1152"/>
        <v>20</v>
      </c>
      <c r="P484" s="16">
        <f t="shared" si="1153"/>
        <v>50</v>
      </c>
      <c r="Q484" s="16">
        <f t="shared" si="1154"/>
        <v>15</v>
      </c>
      <c r="R484" s="14"/>
      <c r="S484" s="15">
        <f t="shared" si="1163"/>
        <v>0</v>
      </c>
      <c r="T484" s="14"/>
      <c r="U484" s="15">
        <f t="shared" si="1164"/>
        <v>0</v>
      </c>
      <c r="V484" s="16">
        <f t="shared" si="1165"/>
        <v>0</v>
      </c>
      <c r="W484" s="17">
        <f t="shared" si="1166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23</v>
      </c>
      <c r="D485" s="21" t="str">
        <f>Spieltag!B473</f>
        <v>Dan-Axel Zagadou (A)</v>
      </c>
      <c r="E485" s="12" t="str">
        <f>Spieltag!C473</f>
        <v>Abwehr</v>
      </c>
      <c r="F485" s="152" t="s">
        <v>235</v>
      </c>
      <c r="G485" s="14"/>
      <c r="H485" s="15">
        <f t="shared" si="1159"/>
        <v>0</v>
      </c>
      <c r="I485" s="14"/>
      <c r="J485" s="15">
        <f t="shared" si="1160"/>
        <v>0</v>
      </c>
      <c r="K485" s="14"/>
      <c r="L485" s="15">
        <f t="shared" si="1161"/>
        <v>0</v>
      </c>
      <c r="M485" s="14"/>
      <c r="N485" s="15">
        <f t="shared" si="1162"/>
        <v>0</v>
      </c>
      <c r="O485" s="16">
        <f t="shared" si="1152"/>
        <v>20</v>
      </c>
      <c r="P485" s="16">
        <f t="shared" si="1153"/>
        <v>50</v>
      </c>
      <c r="Q485" s="16">
        <f t="shared" si="1154"/>
        <v>15</v>
      </c>
      <c r="R485" s="14"/>
      <c r="S485" s="15">
        <f t="shared" si="1163"/>
        <v>0</v>
      </c>
      <c r="T485" s="14"/>
      <c r="U485" s="15">
        <f t="shared" si="1164"/>
        <v>0</v>
      </c>
      <c r="V485" s="16">
        <f t="shared" si="1165"/>
        <v>0</v>
      </c>
      <c r="W485" s="17">
        <f t="shared" si="1166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24</v>
      </c>
      <c r="D486" s="21" t="str">
        <f>Spieltag!B474</f>
        <v>Borna Sosa</v>
      </c>
      <c r="E486" s="12" t="str">
        <f>Spieltag!C474</f>
        <v>Abwehr</v>
      </c>
      <c r="F486" s="152" t="s">
        <v>235</v>
      </c>
      <c r="G486" s="14"/>
      <c r="H486" s="15">
        <f t="shared" si="1159"/>
        <v>0</v>
      </c>
      <c r="I486" s="14"/>
      <c r="J486" s="15">
        <f t="shared" si="1160"/>
        <v>0</v>
      </c>
      <c r="K486" s="14"/>
      <c r="L486" s="15">
        <f t="shared" si="1161"/>
        <v>0</v>
      </c>
      <c r="M486" s="14"/>
      <c r="N486" s="15">
        <f t="shared" si="1162"/>
        <v>0</v>
      </c>
      <c r="O486" s="16">
        <f t="shared" si="1152"/>
        <v>20</v>
      </c>
      <c r="P486" s="16">
        <f t="shared" si="1153"/>
        <v>50</v>
      </c>
      <c r="Q486" s="16">
        <f t="shared" si="1154"/>
        <v>15</v>
      </c>
      <c r="R486" s="14"/>
      <c r="S486" s="15">
        <f t="shared" si="1163"/>
        <v>0</v>
      </c>
      <c r="T486" s="14"/>
      <c r="U486" s="15">
        <f t="shared" si="1164"/>
        <v>0</v>
      </c>
      <c r="V486" s="16">
        <f t="shared" si="1165"/>
        <v>0</v>
      </c>
      <c r="W486" s="17">
        <f t="shared" si="1166"/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3</v>
      </c>
      <c r="D487" s="21" t="str">
        <f>Spieltag!B475</f>
        <v>Wataru Endo (A)</v>
      </c>
      <c r="E487" s="12" t="str">
        <f>Spieltag!C475</f>
        <v>Mittelfeld</v>
      </c>
      <c r="F487" s="152" t="s">
        <v>235</v>
      </c>
      <c r="G487" s="14"/>
      <c r="H487" s="15">
        <f t="shared" si="1148"/>
        <v>0</v>
      </c>
      <c r="I487" s="14"/>
      <c r="J487" s="15">
        <f t="shared" si="1149"/>
        <v>0</v>
      </c>
      <c r="K487" s="14"/>
      <c r="L487" s="15">
        <f t="shared" si="1150"/>
        <v>0</v>
      </c>
      <c r="M487" s="14"/>
      <c r="N487" s="15">
        <f t="shared" si="1151"/>
        <v>0</v>
      </c>
      <c r="O487" s="16">
        <f t="shared" ref="O487:O498" si="1167">IF(AND($P$10&gt;$Q$10),20,IF($P$10=$Q$10,10,0))</f>
        <v>20</v>
      </c>
      <c r="P487" s="16">
        <f t="shared" ref="P487:P498" si="1168">IF(($P$10&lt;&gt;0),$P$10*10,-5)</f>
        <v>50</v>
      </c>
      <c r="Q487" s="16">
        <f t="shared" ref="Q487:Q498" si="1169">IF(($Q$10&lt;&gt;0),$Q$10*-10,10)</f>
        <v>10</v>
      </c>
      <c r="R487" s="14"/>
      <c r="S487" s="15">
        <f t="shared" ref="S487" si="1170">R487*10</f>
        <v>0</v>
      </c>
      <c r="T487" s="14"/>
      <c r="U487" s="15">
        <f t="shared" si="1156"/>
        <v>0</v>
      </c>
      <c r="V487" s="16">
        <f t="shared" si="1157"/>
        <v>0</v>
      </c>
      <c r="W487" s="17">
        <f t="shared" si="1158"/>
        <v>0</v>
      </c>
    </row>
    <row r="488" spans="1:23" ht="10.5" hidden="1" customHeight="1" x14ac:dyDescent="0.2">
      <c r="A488" s="11"/>
      <c r="B488" s="149">
        <f>COUNTA(Spieltag!K476:AA476)</f>
        <v>0</v>
      </c>
      <c r="C488" s="166">
        <f>Spieltag!A476</f>
        <v>8</v>
      </c>
      <c r="D488" s="21" t="str">
        <f>Spieltag!B476</f>
        <v>Enzo Millot (A)</v>
      </c>
      <c r="E488" s="12" t="str">
        <f>Spieltag!C476</f>
        <v>Mittelfeld</v>
      </c>
      <c r="F488" s="152" t="s">
        <v>235</v>
      </c>
      <c r="G488" s="14"/>
      <c r="H488" s="15">
        <f t="shared" ref="H488:H498" si="1171">IF(G488="x",10,0)</f>
        <v>0</v>
      </c>
      <c r="I488" s="14"/>
      <c r="J488" s="15">
        <f t="shared" ref="J488:J498" si="1172">IF((I488="x"),-10,0)</f>
        <v>0</v>
      </c>
      <c r="K488" s="14"/>
      <c r="L488" s="15">
        <f t="shared" ref="L488:L498" si="1173">IF((K488="x"),-20,0)</f>
        <v>0</v>
      </c>
      <c r="M488" s="14"/>
      <c r="N488" s="15">
        <f t="shared" ref="N488:N498" si="1174">IF((M488="x"),-30,0)</f>
        <v>0</v>
      </c>
      <c r="O488" s="16">
        <f t="shared" si="1167"/>
        <v>20</v>
      </c>
      <c r="P488" s="16">
        <f t="shared" si="1168"/>
        <v>50</v>
      </c>
      <c r="Q488" s="16">
        <f t="shared" si="1169"/>
        <v>10</v>
      </c>
      <c r="R488" s="14"/>
      <c r="S488" s="15">
        <f t="shared" ref="S488:S498" si="1175">R488*10</f>
        <v>0</v>
      </c>
      <c r="T488" s="14"/>
      <c r="U488" s="15">
        <f t="shared" ref="U488:U498" si="1176">T488*-15</f>
        <v>0</v>
      </c>
      <c r="V488" s="16">
        <f t="shared" ref="V488:V498" si="1177">IF(AND(R488=2),10,IF(R488=3,30,IF(R488=4,50,IF(R488=5,70,0))))</f>
        <v>0</v>
      </c>
      <c r="W488" s="17">
        <f t="shared" ref="W488:W498" si="1178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10</v>
      </c>
      <c r="D489" s="21" t="str">
        <f>Spieltag!B477</f>
        <v>Wooyeong Jeong (A)</v>
      </c>
      <c r="E489" s="12" t="str">
        <f>Spieltag!C477</f>
        <v>Mittelfeld</v>
      </c>
      <c r="F489" s="152" t="s">
        <v>235</v>
      </c>
      <c r="G489" s="14"/>
      <c r="H489" s="15">
        <f t="shared" si="1171"/>
        <v>0</v>
      </c>
      <c r="I489" s="14"/>
      <c r="J489" s="15">
        <f t="shared" si="1172"/>
        <v>0</v>
      </c>
      <c r="K489" s="14"/>
      <c r="L489" s="15">
        <f t="shared" si="1173"/>
        <v>0</v>
      </c>
      <c r="M489" s="14"/>
      <c r="N489" s="15">
        <f t="shared" si="1174"/>
        <v>0</v>
      </c>
      <c r="O489" s="16">
        <f t="shared" si="1167"/>
        <v>20</v>
      </c>
      <c r="P489" s="16">
        <f t="shared" si="1168"/>
        <v>50</v>
      </c>
      <c r="Q489" s="16">
        <f t="shared" si="1169"/>
        <v>10</v>
      </c>
      <c r="R489" s="14"/>
      <c r="S489" s="15">
        <f t="shared" si="1175"/>
        <v>0</v>
      </c>
      <c r="T489" s="14"/>
      <c r="U489" s="15">
        <f t="shared" si="1176"/>
        <v>0</v>
      </c>
      <c r="V489" s="16">
        <f t="shared" si="1177"/>
        <v>0</v>
      </c>
      <c r="W489" s="17">
        <f t="shared" si="1178"/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17</v>
      </c>
      <c r="D490" s="21" t="str">
        <f>Spieltag!B478</f>
        <v>Genki Haraguchi (A)</v>
      </c>
      <c r="E490" s="12" t="str">
        <f>Spieltag!C478</f>
        <v>Mittelfeld</v>
      </c>
      <c r="F490" s="152" t="s">
        <v>235</v>
      </c>
      <c r="G490" s="14"/>
      <c r="H490" s="15">
        <f t="shared" si="1171"/>
        <v>0</v>
      </c>
      <c r="I490" s="14"/>
      <c r="J490" s="15">
        <f t="shared" si="1172"/>
        <v>0</v>
      </c>
      <c r="K490" s="14"/>
      <c r="L490" s="15">
        <f t="shared" si="1173"/>
        <v>0</v>
      </c>
      <c r="M490" s="14"/>
      <c r="N490" s="15">
        <f t="shared" si="1174"/>
        <v>0</v>
      </c>
      <c r="O490" s="16">
        <f t="shared" si="1167"/>
        <v>20</v>
      </c>
      <c r="P490" s="16">
        <f t="shared" si="1168"/>
        <v>50</v>
      </c>
      <c r="Q490" s="16">
        <f t="shared" si="1169"/>
        <v>10</v>
      </c>
      <c r="R490" s="14"/>
      <c r="S490" s="15">
        <f t="shared" si="1175"/>
        <v>0</v>
      </c>
      <c r="T490" s="14"/>
      <c r="U490" s="15">
        <f t="shared" si="1176"/>
        <v>0</v>
      </c>
      <c r="V490" s="16">
        <f t="shared" si="1177"/>
        <v>0</v>
      </c>
      <c r="W490" s="17">
        <f t="shared" si="1178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25</v>
      </c>
      <c r="D491" s="21" t="str">
        <f>Spieltag!B479</f>
        <v>Lilian Egloff</v>
      </c>
      <c r="E491" s="12" t="str">
        <f>Spieltag!C479</f>
        <v>Mittelfeld</v>
      </c>
      <c r="F491" s="152" t="s">
        <v>235</v>
      </c>
      <c r="G491" s="14"/>
      <c r="H491" s="15">
        <f t="shared" si="1171"/>
        <v>0</v>
      </c>
      <c r="I491" s="14"/>
      <c r="J491" s="15">
        <f t="shared" si="1172"/>
        <v>0</v>
      </c>
      <c r="K491" s="14"/>
      <c r="L491" s="15">
        <f t="shared" si="1173"/>
        <v>0</v>
      </c>
      <c r="M491" s="14"/>
      <c r="N491" s="15">
        <f t="shared" si="1174"/>
        <v>0</v>
      </c>
      <c r="O491" s="16">
        <f t="shared" si="1167"/>
        <v>20</v>
      </c>
      <c r="P491" s="16">
        <f t="shared" si="1168"/>
        <v>50</v>
      </c>
      <c r="Q491" s="16">
        <f t="shared" si="1169"/>
        <v>10</v>
      </c>
      <c r="R491" s="14"/>
      <c r="S491" s="15">
        <f t="shared" si="1175"/>
        <v>0</v>
      </c>
      <c r="T491" s="14"/>
      <c r="U491" s="15">
        <f t="shared" si="1176"/>
        <v>0</v>
      </c>
      <c r="V491" s="16">
        <f t="shared" si="1177"/>
        <v>0</v>
      </c>
      <c r="W491" s="17">
        <f t="shared" si="1178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27</v>
      </c>
      <c r="D492" s="21" t="str">
        <f>Spieltag!B480</f>
        <v>Chris Führich</v>
      </c>
      <c r="E492" s="12" t="str">
        <f>Spieltag!C480</f>
        <v>Mittelfeld</v>
      </c>
      <c r="F492" s="152" t="s">
        <v>235</v>
      </c>
      <c r="G492" s="14"/>
      <c r="H492" s="15">
        <f t="shared" si="1171"/>
        <v>0</v>
      </c>
      <c r="I492" s="14"/>
      <c r="J492" s="15">
        <f t="shared" si="1172"/>
        <v>0</v>
      </c>
      <c r="K492" s="14"/>
      <c r="L492" s="15">
        <f t="shared" si="1173"/>
        <v>0</v>
      </c>
      <c r="M492" s="14"/>
      <c r="N492" s="15">
        <f t="shared" si="1174"/>
        <v>0</v>
      </c>
      <c r="O492" s="16">
        <f t="shared" si="1167"/>
        <v>20</v>
      </c>
      <c r="P492" s="16">
        <f t="shared" si="1168"/>
        <v>50</v>
      </c>
      <c r="Q492" s="16">
        <f t="shared" si="1169"/>
        <v>10</v>
      </c>
      <c r="R492" s="14"/>
      <c r="S492" s="15">
        <f t="shared" si="1175"/>
        <v>0</v>
      </c>
      <c r="T492" s="14"/>
      <c r="U492" s="15">
        <f t="shared" si="1176"/>
        <v>0</v>
      </c>
      <c r="V492" s="16">
        <f t="shared" si="1177"/>
        <v>0</v>
      </c>
      <c r="W492" s="17">
        <f t="shared" si="1178"/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28</v>
      </c>
      <c r="D493" s="21" t="str">
        <f>Spieltag!B481</f>
        <v>Nikolas Nartey (A)</v>
      </c>
      <c r="E493" s="12" t="str">
        <f>Spieltag!C481</f>
        <v>Mittelfeld</v>
      </c>
      <c r="F493" s="152" t="s">
        <v>235</v>
      </c>
      <c r="G493" s="14"/>
      <c r="H493" s="15">
        <f t="shared" si="1171"/>
        <v>0</v>
      </c>
      <c r="I493" s="14"/>
      <c r="J493" s="15">
        <f t="shared" si="1172"/>
        <v>0</v>
      </c>
      <c r="K493" s="14"/>
      <c r="L493" s="15">
        <f t="shared" si="1173"/>
        <v>0</v>
      </c>
      <c r="M493" s="14"/>
      <c r="N493" s="15">
        <f t="shared" si="1174"/>
        <v>0</v>
      </c>
      <c r="O493" s="16">
        <f t="shared" si="1167"/>
        <v>20</v>
      </c>
      <c r="P493" s="16">
        <f t="shared" si="1168"/>
        <v>50</v>
      </c>
      <c r="Q493" s="16">
        <f t="shared" si="1169"/>
        <v>10</v>
      </c>
      <c r="R493" s="14"/>
      <c r="S493" s="15">
        <f t="shared" si="1175"/>
        <v>0</v>
      </c>
      <c r="T493" s="14"/>
      <c r="U493" s="15">
        <f t="shared" si="1176"/>
        <v>0</v>
      </c>
      <c r="V493" s="16">
        <f t="shared" si="1177"/>
        <v>0</v>
      </c>
      <c r="W493" s="17">
        <f t="shared" si="1178"/>
        <v>0</v>
      </c>
    </row>
    <row r="494" spans="1:23" ht="10.5" hidden="1" customHeight="1" x14ac:dyDescent="0.2">
      <c r="A494" s="11"/>
      <c r="B494" s="149">
        <f>COUNTA(Spieltag!K482:AA482)</f>
        <v>0</v>
      </c>
      <c r="C494" s="166">
        <f>Spieltag!A482</f>
        <v>29</v>
      </c>
      <c r="D494" s="21" t="str">
        <f>Spieltag!B482</f>
        <v>Momo Cisse (A)</v>
      </c>
      <c r="E494" s="12" t="str">
        <f>Spieltag!C482</f>
        <v>Mittelfeld</v>
      </c>
      <c r="F494" s="152" t="s">
        <v>235</v>
      </c>
      <c r="G494" s="14"/>
      <c r="H494" s="15">
        <f t="shared" si="1171"/>
        <v>0</v>
      </c>
      <c r="I494" s="14"/>
      <c r="J494" s="15">
        <f t="shared" si="1172"/>
        <v>0</v>
      </c>
      <c r="K494" s="14"/>
      <c r="L494" s="15">
        <f t="shared" si="1173"/>
        <v>0</v>
      </c>
      <c r="M494" s="14"/>
      <c r="N494" s="15">
        <f t="shared" si="1174"/>
        <v>0</v>
      </c>
      <c r="O494" s="16">
        <f t="shared" si="1167"/>
        <v>20</v>
      </c>
      <c r="P494" s="16">
        <f t="shared" si="1168"/>
        <v>50</v>
      </c>
      <c r="Q494" s="16">
        <f t="shared" si="1169"/>
        <v>10</v>
      </c>
      <c r="R494" s="14"/>
      <c r="S494" s="15">
        <f t="shared" si="1175"/>
        <v>0</v>
      </c>
      <c r="T494" s="14"/>
      <c r="U494" s="15">
        <f t="shared" si="1176"/>
        <v>0</v>
      </c>
      <c r="V494" s="16">
        <f t="shared" si="1177"/>
        <v>0</v>
      </c>
      <c r="W494" s="17">
        <f t="shared" si="1178"/>
        <v>0</v>
      </c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31</v>
      </c>
      <c r="D495" s="21" t="str">
        <f>Spieltag!B483</f>
        <v>Gil Dias (A)</v>
      </c>
      <c r="E495" s="12" t="str">
        <f>Spieltag!C483</f>
        <v>Mittelfeld</v>
      </c>
      <c r="F495" s="152" t="s">
        <v>235</v>
      </c>
      <c r="G495" s="14"/>
      <c r="H495" s="15">
        <f t="shared" si="1171"/>
        <v>0</v>
      </c>
      <c r="I495" s="14"/>
      <c r="J495" s="15">
        <f t="shared" si="1172"/>
        <v>0</v>
      </c>
      <c r="K495" s="14"/>
      <c r="L495" s="15">
        <f t="shared" si="1173"/>
        <v>0</v>
      </c>
      <c r="M495" s="14"/>
      <c r="N495" s="15">
        <f t="shared" si="1174"/>
        <v>0</v>
      </c>
      <c r="O495" s="16">
        <f t="shared" si="1167"/>
        <v>20</v>
      </c>
      <c r="P495" s="16">
        <f t="shared" si="1168"/>
        <v>50</v>
      </c>
      <c r="Q495" s="16">
        <f t="shared" si="1169"/>
        <v>10</v>
      </c>
      <c r="R495" s="14"/>
      <c r="S495" s="15">
        <f t="shared" si="1175"/>
        <v>0</v>
      </c>
      <c r="T495" s="14"/>
      <c r="U495" s="15">
        <f t="shared" si="1176"/>
        <v>0</v>
      </c>
      <c r="V495" s="16">
        <f t="shared" si="1177"/>
        <v>0</v>
      </c>
      <c r="W495" s="17">
        <f t="shared" si="1178"/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32</v>
      </c>
      <c r="D496" s="21" t="str">
        <f>Spieltag!B484</f>
        <v>Roberto Massimo</v>
      </c>
      <c r="E496" s="12" t="str">
        <f>Spieltag!C484</f>
        <v>Mittelfeld</v>
      </c>
      <c r="F496" s="152" t="s">
        <v>235</v>
      </c>
      <c r="G496" s="14"/>
      <c r="H496" s="15">
        <f t="shared" si="1171"/>
        <v>0</v>
      </c>
      <c r="I496" s="14"/>
      <c r="J496" s="15">
        <f t="shared" si="1172"/>
        <v>0</v>
      </c>
      <c r="K496" s="14"/>
      <c r="L496" s="15">
        <f t="shared" si="1173"/>
        <v>0</v>
      </c>
      <c r="M496" s="14"/>
      <c r="N496" s="15">
        <f t="shared" si="1174"/>
        <v>0</v>
      </c>
      <c r="O496" s="16">
        <f t="shared" si="1167"/>
        <v>20</v>
      </c>
      <c r="P496" s="16">
        <f t="shared" si="1168"/>
        <v>50</v>
      </c>
      <c r="Q496" s="16">
        <f t="shared" si="1169"/>
        <v>10</v>
      </c>
      <c r="R496" s="14"/>
      <c r="S496" s="15">
        <f t="shared" si="1175"/>
        <v>0</v>
      </c>
      <c r="T496" s="14"/>
      <c r="U496" s="15">
        <f t="shared" si="1176"/>
        <v>0</v>
      </c>
      <c r="V496" s="16">
        <f t="shared" si="1177"/>
        <v>0</v>
      </c>
      <c r="W496" s="17">
        <f t="shared" si="1178"/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35</v>
      </c>
      <c r="D497" s="21" t="str">
        <f>Spieltag!B485</f>
        <v>Clinton Mola (A)</v>
      </c>
      <c r="E497" s="12" t="str">
        <f>Spieltag!C485</f>
        <v>Mittelfeld</v>
      </c>
      <c r="F497" s="152" t="s">
        <v>235</v>
      </c>
      <c r="G497" s="14"/>
      <c r="H497" s="15">
        <f t="shared" si="1171"/>
        <v>0</v>
      </c>
      <c r="I497" s="14"/>
      <c r="J497" s="15">
        <f t="shared" si="1172"/>
        <v>0</v>
      </c>
      <c r="K497" s="14"/>
      <c r="L497" s="15">
        <f t="shared" si="1173"/>
        <v>0</v>
      </c>
      <c r="M497" s="14"/>
      <c r="N497" s="15">
        <f t="shared" si="1174"/>
        <v>0</v>
      </c>
      <c r="O497" s="16">
        <f t="shared" si="1167"/>
        <v>20</v>
      </c>
      <c r="P497" s="16">
        <f t="shared" si="1168"/>
        <v>50</v>
      </c>
      <c r="Q497" s="16">
        <f t="shared" si="1169"/>
        <v>10</v>
      </c>
      <c r="R497" s="14"/>
      <c r="S497" s="15">
        <f t="shared" si="1175"/>
        <v>0</v>
      </c>
      <c r="T497" s="14"/>
      <c r="U497" s="15">
        <f t="shared" si="1176"/>
        <v>0</v>
      </c>
      <c r="V497" s="16">
        <f t="shared" si="1177"/>
        <v>0</v>
      </c>
      <c r="W497" s="17">
        <f t="shared" si="1178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36</v>
      </c>
      <c r="D498" s="21" t="str">
        <f>Spieltag!B486</f>
        <v>Laurin Ulrich</v>
      </c>
      <c r="E498" s="12" t="str">
        <f>Spieltag!C486</f>
        <v>Mittelfeld</v>
      </c>
      <c r="F498" s="152" t="s">
        <v>235</v>
      </c>
      <c r="G498" s="14"/>
      <c r="H498" s="15">
        <f t="shared" si="1171"/>
        <v>0</v>
      </c>
      <c r="I498" s="14"/>
      <c r="J498" s="15">
        <f t="shared" si="1172"/>
        <v>0</v>
      </c>
      <c r="K498" s="14"/>
      <c r="L498" s="15">
        <f t="shared" si="1173"/>
        <v>0</v>
      </c>
      <c r="M498" s="14"/>
      <c r="N498" s="15">
        <f t="shared" si="1174"/>
        <v>0</v>
      </c>
      <c r="O498" s="16">
        <f t="shared" si="1167"/>
        <v>20</v>
      </c>
      <c r="P498" s="16">
        <f t="shared" si="1168"/>
        <v>50</v>
      </c>
      <c r="Q498" s="16">
        <f t="shared" si="1169"/>
        <v>10</v>
      </c>
      <c r="R498" s="14"/>
      <c r="S498" s="15">
        <f t="shared" si="1175"/>
        <v>0</v>
      </c>
      <c r="T498" s="14"/>
      <c r="U498" s="15">
        <f t="shared" si="1176"/>
        <v>0</v>
      </c>
      <c r="V498" s="16">
        <f t="shared" si="1177"/>
        <v>0</v>
      </c>
      <c r="W498" s="17">
        <f t="shared" si="1178"/>
        <v>0</v>
      </c>
    </row>
    <row r="499" spans="1:23" ht="10.5" hidden="1" customHeight="1" x14ac:dyDescent="0.2">
      <c r="A499" s="11"/>
      <c r="B499" s="149">
        <f>COUNTA(Spieltag!K487:AA487)</f>
        <v>0</v>
      </c>
      <c r="C499" s="166">
        <f>Spieltag!A487</f>
        <v>9</v>
      </c>
      <c r="D499" s="21" t="str">
        <f>Spieltag!B487</f>
        <v>Serhou Guirassy (A)</v>
      </c>
      <c r="E499" s="12" t="str">
        <f>Spieltag!C487</f>
        <v>Sturm</v>
      </c>
      <c r="F499" s="152" t="s">
        <v>235</v>
      </c>
      <c r="G499" s="14"/>
      <c r="H499" s="15">
        <f>IF(G499="x",10,0)</f>
        <v>0</v>
      </c>
      <c r="I499" s="14"/>
      <c r="J499" s="15">
        <f>IF((I499="x"),-10,0)</f>
        <v>0</v>
      </c>
      <c r="K499" s="14"/>
      <c r="L499" s="15">
        <f>IF((K499="x"),-20,0)</f>
        <v>0</v>
      </c>
      <c r="M499" s="14"/>
      <c r="N499" s="15">
        <f>IF((M499="x"),-30,0)</f>
        <v>0</v>
      </c>
      <c r="O499" s="16">
        <f t="shared" ref="O499:O506" si="1179">IF(AND($P$10&gt;$Q$10),20,IF($P$10=$Q$10,10,0))</f>
        <v>20</v>
      </c>
      <c r="P499" s="16">
        <f t="shared" ref="P499:P506" si="1180">IF(($P$10&lt;&gt;0),$P$10*10,-5)</f>
        <v>50</v>
      </c>
      <c r="Q499" s="16">
        <f t="shared" ref="Q499:Q506" si="1181">IF(($Q$10&lt;&gt;0),$Q$10*-10,5)</f>
        <v>5</v>
      </c>
      <c r="R499" s="14"/>
      <c r="S499" s="15">
        <f>R499*10</f>
        <v>0</v>
      </c>
      <c r="T499" s="14"/>
      <c r="U499" s="15">
        <f>T499*-15</f>
        <v>0</v>
      </c>
      <c r="V499" s="16">
        <f>IF(AND(R499=2),10,IF(R499=3,30,IF(R499=4,50,IF(R499=5,70,0))))</f>
        <v>0</v>
      </c>
      <c r="W499" s="17">
        <f>IF(G499="x",H499+J499+L499+N499+O499+P499+Q499+S499+U499+V499,0)</f>
        <v>0</v>
      </c>
    </row>
    <row r="500" spans="1:23" ht="10.5" hidden="1" customHeight="1" x14ac:dyDescent="0.2">
      <c r="A500" s="11"/>
      <c r="B500" s="149">
        <f>COUNTA(Spieltag!K488:AA488)</f>
        <v>0</v>
      </c>
      <c r="C500" s="166">
        <f>Spieltag!A488</f>
        <v>14</v>
      </c>
      <c r="D500" s="21" t="str">
        <f>Spieltag!B488</f>
        <v>Silas Katompa Mvumpa (A)</v>
      </c>
      <c r="E500" s="12" t="str">
        <f>Spieltag!C488</f>
        <v>Sturm</v>
      </c>
      <c r="F500" s="152" t="s">
        <v>235</v>
      </c>
      <c r="G500" s="14"/>
      <c r="H500" s="15">
        <f t="shared" ref="H500:H506" si="1182">IF(G500="x",10,0)</f>
        <v>0</v>
      </c>
      <c r="I500" s="14"/>
      <c r="J500" s="15">
        <f t="shared" ref="J500:J506" si="1183">IF((I500="x"),-10,0)</f>
        <v>0</v>
      </c>
      <c r="K500" s="14"/>
      <c r="L500" s="15">
        <f t="shared" ref="L500:L506" si="1184">IF((K500="x"),-20,0)</f>
        <v>0</v>
      </c>
      <c r="M500" s="14"/>
      <c r="N500" s="15">
        <f t="shared" ref="N500:N506" si="1185">IF((M500="x"),-30,0)</f>
        <v>0</v>
      </c>
      <c r="O500" s="16">
        <f t="shared" si="1179"/>
        <v>20</v>
      </c>
      <c r="P500" s="16">
        <f t="shared" si="1180"/>
        <v>50</v>
      </c>
      <c r="Q500" s="16">
        <f t="shared" si="1181"/>
        <v>5</v>
      </c>
      <c r="R500" s="14"/>
      <c r="S500" s="15">
        <f t="shared" ref="S500:S506" si="1186">R500*10</f>
        <v>0</v>
      </c>
      <c r="T500" s="14"/>
      <c r="U500" s="15">
        <f t="shared" ref="U500:U506" si="1187">T500*-15</f>
        <v>0</v>
      </c>
      <c r="V500" s="16">
        <f t="shared" ref="V500:V506" si="1188">IF(AND(R500=2),10,IF(R500=3,30,IF(R500=4,50,IF(R500=5,70,0))))</f>
        <v>0</v>
      </c>
      <c r="W500" s="17">
        <f t="shared" ref="W500:W506" si="1189">IF(G500="x",H500+J500+L500+N500+O500+P500+Q500+S500+U500+V500,0)</f>
        <v>0</v>
      </c>
    </row>
    <row r="501" spans="1:23" ht="10.5" hidden="1" customHeight="1" x14ac:dyDescent="0.2">
      <c r="A501" s="11"/>
      <c r="B501" s="149">
        <f>COUNTA(Spieltag!K489:AA489)</f>
        <v>0</v>
      </c>
      <c r="C501" s="166">
        <f>Spieltag!A489</f>
        <v>18</v>
      </c>
      <c r="D501" s="21" t="str">
        <f>Spieltag!B489</f>
        <v>Jamie Leweling</v>
      </c>
      <c r="E501" s="12" t="str">
        <f>Spieltag!C489</f>
        <v>Sturm</v>
      </c>
      <c r="F501" s="152" t="s">
        <v>235</v>
      </c>
      <c r="G501" s="14"/>
      <c r="H501" s="15">
        <f t="shared" si="1182"/>
        <v>0</v>
      </c>
      <c r="I501" s="14"/>
      <c r="J501" s="15">
        <f t="shared" si="1183"/>
        <v>0</v>
      </c>
      <c r="K501" s="14"/>
      <c r="L501" s="15">
        <f t="shared" si="1184"/>
        <v>0</v>
      </c>
      <c r="M501" s="14"/>
      <c r="N501" s="15">
        <f t="shared" si="1185"/>
        <v>0</v>
      </c>
      <c r="O501" s="16">
        <f t="shared" si="1179"/>
        <v>20</v>
      </c>
      <c r="P501" s="16">
        <f t="shared" si="1180"/>
        <v>50</v>
      </c>
      <c r="Q501" s="16">
        <f t="shared" si="1181"/>
        <v>5</v>
      </c>
      <c r="R501" s="14"/>
      <c r="S501" s="15">
        <f t="shared" si="1186"/>
        <v>0</v>
      </c>
      <c r="T501" s="14"/>
      <c r="U501" s="15">
        <f t="shared" si="1187"/>
        <v>0</v>
      </c>
      <c r="V501" s="16">
        <f t="shared" si="1188"/>
        <v>0</v>
      </c>
      <c r="W501" s="17">
        <f t="shared" si="1189"/>
        <v>0</v>
      </c>
    </row>
    <row r="502" spans="1:23" ht="10.5" hidden="1" customHeight="1" x14ac:dyDescent="0.2">
      <c r="A502" s="11"/>
      <c r="B502" s="149">
        <f>COUNTA(Spieltag!K490:AA490)</f>
        <v>0</v>
      </c>
      <c r="C502" s="166">
        <f>Spieltag!A490</f>
        <v>19</v>
      </c>
      <c r="D502" s="21" t="str">
        <f>Spieltag!B490</f>
        <v>Jovan Milosevic (A)</v>
      </c>
      <c r="E502" s="12" t="str">
        <f>Spieltag!C490</f>
        <v>Sturm</v>
      </c>
      <c r="F502" s="152" t="s">
        <v>235</v>
      </c>
      <c r="G502" s="14"/>
      <c r="H502" s="15">
        <f t="shared" si="1182"/>
        <v>0</v>
      </c>
      <c r="I502" s="14"/>
      <c r="J502" s="15">
        <f t="shared" si="1183"/>
        <v>0</v>
      </c>
      <c r="K502" s="14"/>
      <c r="L502" s="15">
        <f t="shared" si="1184"/>
        <v>0</v>
      </c>
      <c r="M502" s="14"/>
      <c r="N502" s="15">
        <f t="shared" si="1185"/>
        <v>0</v>
      </c>
      <c r="O502" s="16">
        <f t="shared" si="1179"/>
        <v>20</v>
      </c>
      <c r="P502" s="16">
        <f t="shared" si="1180"/>
        <v>50</v>
      </c>
      <c r="Q502" s="16">
        <f t="shared" si="1181"/>
        <v>5</v>
      </c>
      <c r="R502" s="14"/>
      <c r="S502" s="15">
        <f t="shared" si="1186"/>
        <v>0</v>
      </c>
      <c r="T502" s="14"/>
      <c r="U502" s="15">
        <f t="shared" si="1187"/>
        <v>0</v>
      </c>
      <c r="V502" s="16">
        <f t="shared" si="1188"/>
        <v>0</v>
      </c>
      <c r="W502" s="17">
        <f t="shared" si="1189"/>
        <v>0</v>
      </c>
    </row>
    <row r="503" spans="1:23" ht="10.5" hidden="1" customHeight="1" x14ac:dyDescent="0.2">
      <c r="A503" s="11"/>
      <c r="B503" s="149">
        <f>COUNTA(Spieltag!K491:AA491)</f>
        <v>0</v>
      </c>
      <c r="C503" s="166">
        <f>Spieltag!A491</f>
        <v>20</v>
      </c>
      <c r="D503" s="21" t="str">
        <f>Spieltag!B491</f>
        <v>Luca Pfeifer</v>
      </c>
      <c r="E503" s="12" t="str">
        <f>Spieltag!C491</f>
        <v>Sturm</v>
      </c>
      <c r="F503" s="152" t="s">
        <v>235</v>
      </c>
      <c r="G503" s="14"/>
      <c r="H503" s="15">
        <f t="shared" si="1182"/>
        <v>0</v>
      </c>
      <c r="I503" s="14"/>
      <c r="J503" s="15">
        <f t="shared" si="1183"/>
        <v>0</v>
      </c>
      <c r="K503" s="14"/>
      <c r="L503" s="15">
        <f t="shared" si="1184"/>
        <v>0</v>
      </c>
      <c r="M503" s="14"/>
      <c r="N503" s="15">
        <f t="shared" si="1185"/>
        <v>0</v>
      </c>
      <c r="O503" s="16">
        <f t="shared" si="1179"/>
        <v>20</v>
      </c>
      <c r="P503" s="16">
        <f t="shared" si="1180"/>
        <v>50</v>
      </c>
      <c r="Q503" s="16">
        <f t="shared" si="1181"/>
        <v>5</v>
      </c>
      <c r="R503" s="14"/>
      <c r="S503" s="15">
        <f t="shared" si="1186"/>
        <v>0</v>
      </c>
      <c r="T503" s="14"/>
      <c r="U503" s="15">
        <f t="shared" si="1187"/>
        <v>0</v>
      </c>
      <c r="V503" s="16">
        <f t="shared" si="1188"/>
        <v>0</v>
      </c>
      <c r="W503" s="17">
        <f t="shared" si="1189"/>
        <v>0</v>
      </c>
    </row>
    <row r="504" spans="1:23" ht="10.5" hidden="1" customHeight="1" x14ac:dyDescent="0.2">
      <c r="A504" s="11"/>
      <c r="B504" s="149">
        <f>COUNTA(Spieltag!K492:AA492)</f>
        <v>0</v>
      </c>
      <c r="C504" s="166">
        <f>Spieltag!A492</f>
        <v>22</v>
      </c>
      <c r="D504" s="21" t="str">
        <f>Spieltag!B492</f>
        <v>Thomas Kastanaras</v>
      </c>
      <c r="E504" s="12" t="str">
        <f>Spieltag!C492</f>
        <v>Sturm</v>
      </c>
      <c r="F504" s="152" t="s">
        <v>235</v>
      </c>
      <c r="G504" s="14"/>
      <c r="H504" s="15">
        <f t="shared" si="1182"/>
        <v>0</v>
      </c>
      <c r="I504" s="14"/>
      <c r="J504" s="15">
        <f t="shared" si="1183"/>
        <v>0</v>
      </c>
      <c r="K504" s="14"/>
      <c r="L504" s="15">
        <f t="shared" si="1184"/>
        <v>0</v>
      </c>
      <c r="M504" s="14"/>
      <c r="N504" s="15">
        <f t="shared" si="1185"/>
        <v>0</v>
      </c>
      <c r="O504" s="16">
        <f t="shared" si="1179"/>
        <v>20</v>
      </c>
      <c r="P504" s="16">
        <f t="shared" si="1180"/>
        <v>50</v>
      </c>
      <c r="Q504" s="16">
        <f t="shared" si="1181"/>
        <v>5</v>
      </c>
      <c r="R504" s="14"/>
      <c r="S504" s="15">
        <f t="shared" si="1186"/>
        <v>0</v>
      </c>
      <c r="T504" s="14"/>
      <c r="U504" s="15">
        <f t="shared" si="1187"/>
        <v>0</v>
      </c>
      <c r="V504" s="16">
        <f t="shared" si="1188"/>
        <v>0</v>
      </c>
      <c r="W504" s="17">
        <f t="shared" si="1189"/>
        <v>0</v>
      </c>
    </row>
    <row r="505" spans="1:23" ht="10.5" hidden="1" customHeight="1" x14ac:dyDescent="0.2">
      <c r="A505" s="11"/>
      <c r="B505" s="149">
        <f>COUNTA(Spieltag!K493:AA493)</f>
        <v>0</v>
      </c>
      <c r="C505" s="166">
        <f>Spieltag!A493</f>
        <v>26</v>
      </c>
      <c r="D505" s="21" t="str">
        <f>Spieltag!B493</f>
        <v>Deniz Undav</v>
      </c>
      <c r="E505" s="12" t="str">
        <f>Spieltag!C493</f>
        <v>Sturm</v>
      </c>
      <c r="F505" s="152" t="s">
        <v>235</v>
      </c>
      <c r="G505" s="14"/>
      <c r="H505" s="15">
        <f t="shared" si="1182"/>
        <v>0</v>
      </c>
      <c r="I505" s="14"/>
      <c r="J505" s="15">
        <f t="shared" si="1183"/>
        <v>0</v>
      </c>
      <c r="K505" s="14"/>
      <c r="L505" s="15">
        <f t="shared" si="1184"/>
        <v>0</v>
      </c>
      <c r="M505" s="14"/>
      <c r="N505" s="15">
        <f t="shared" si="1185"/>
        <v>0</v>
      </c>
      <c r="O505" s="16">
        <f t="shared" si="1179"/>
        <v>20</v>
      </c>
      <c r="P505" s="16">
        <f t="shared" si="1180"/>
        <v>50</v>
      </c>
      <c r="Q505" s="16">
        <f t="shared" si="1181"/>
        <v>5</v>
      </c>
      <c r="R505" s="14"/>
      <c r="S505" s="15">
        <f t="shared" si="1186"/>
        <v>0</v>
      </c>
      <c r="T505" s="14"/>
      <c r="U505" s="15">
        <f t="shared" si="1187"/>
        <v>0</v>
      </c>
      <c r="V505" s="16">
        <f t="shared" si="1188"/>
        <v>0</v>
      </c>
      <c r="W505" s="17">
        <f t="shared" si="1189"/>
        <v>0</v>
      </c>
    </row>
    <row r="506" spans="1:23" ht="10.5" hidden="1" customHeight="1" x14ac:dyDescent="0.2">
      <c r="A506" s="11"/>
      <c r="B506" s="149">
        <f>COUNTA(Spieltag!K494:AA494)</f>
        <v>0</v>
      </c>
      <c r="C506" s="166">
        <f>Spieltag!A494</f>
        <v>44</v>
      </c>
      <c r="D506" s="21" t="str">
        <f>Spieltag!B494</f>
        <v>Mohamed Sankoh (A)</v>
      </c>
      <c r="E506" s="12" t="str">
        <f>Spieltag!C494</f>
        <v>Sturm</v>
      </c>
      <c r="F506" s="152" t="s">
        <v>235</v>
      </c>
      <c r="G506" s="14"/>
      <c r="H506" s="15">
        <f t="shared" si="1182"/>
        <v>0</v>
      </c>
      <c r="I506" s="14"/>
      <c r="J506" s="15">
        <f t="shared" si="1183"/>
        <v>0</v>
      </c>
      <c r="K506" s="14"/>
      <c r="L506" s="15">
        <f t="shared" si="1184"/>
        <v>0</v>
      </c>
      <c r="M506" s="14"/>
      <c r="N506" s="15">
        <f t="shared" si="1185"/>
        <v>0</v>
      </c>
      <c r="O506" s="16">
        <f t="shared" si="1179"/>
        <v>20</v>
      </c>
      <c r="P506" s="16">
        <f t="shared" si="1180"/>
        <v>50</v>
      </c>
      <c r="Q506" s="16">
        <f t="shared" si="1181"/>
        <v>5</v>
      </c>
      <c r="R506" s="14"/>
      <c r="S506" s="15">
        <f t="shared" si="1186"/>
        <v>0</v>
      </c>
      <c r="T506" s="14"/>
      <c r="U506" s="15">
        <f t="shared" si="1187"/>
        <v>0</v>
      </c>
      <c r="V506" s="16">
        <f t="shared" si="1188"/>
        <v>0</v>
      </c>
      <c r="W506" s="17">
        <f t="shared" si="1189"/>
        <v>0</v>
      </c>
    </row>
    <row r="507" spans="1:23" s="144" customFormat="1" ht="17.25" hidden="1" thickBot="1" x14ac:dyDescent="0.25">
      <c r="A507" s="142"/>
      <c r="B507" s="143">
        <f>SUM(B508:B537)</f>
        <v>0</v>
      </c>
      <c r="C507" s="158"/>
      <c r="D507" s="221" t="s">
        <v>475</v>
      </c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2"/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1</v>
      </c>
      <c r="D508" s="21" t="str">
        <f>Spieltag!B496</f>
        <v>Kevin Müller</v>
      </c>
      <c r="E508" s="12" t="str">
        <f>Spieltag!C496</f>
        <v>Torwart</v>
      </c>
      <c r="F508" s="13" t="s">
        <v>355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190">IF(AND($V$6&gt;$W$6),20,IF($V$6=$W$6,10,0))</f>
        <v>0</v>
      </c>
      <c r="P508" s="16">
        <f t="shared" ref="P508:P519" si="1191">IF(($V$6&lt;&gt;0),$V$6*10,-5)</f>
        <v>-5</v>
      </c>
      <c r="Q508" s="16">
        <f>IF(($W$6&lt;&gt;0),$W$6*-10,20)</f>
        <v>-20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COUNTA(Spieltag!K497:AA497)</f>
        <v>0</v>
      </c>
      <c r="C509" s="166">
        <f>Spieltag!A497</f>
        <v>22</v>
      </c>
      <c r="D509" s="21" t="str">
        <f>Spieltag!B497</f>
        <v>Vitus Eicher</v>
      </c>
      <c r="E509" s="12" t="str">
        <f>Spieltag!C497</f>
        <v>Torwart</v>
      </c>
      <c r="F509" s="13" t="s">
        <v>355</v>
      </c>
      <c r="G509" s="14"/>
      <c r="H509" s="15">
        <f t="shared" ref="H509:H511" si="1192">IF(G509="x",10,0)</f>
        <v>0</v>
      </c>
      <c r="I509" s="14"/>
      <c r="J509" s="15">
        <f t="shared" ref="J509:J511" si="1193">IF((I509="x"),-10,0)</f>
        <v>0</v>
      </c>
      <c r="K509" s="14"/>
      <c r="L509" s="15">
        <f t="shared" ref="L509:L511" si="1194">IF((K509="x"),-20,0)</f>
        <v>0</v>
      </c>
      <c r="M509" s="14"/>
      <c r="N509" s="15">
        <f t="shared" ref="N509:N511" si="1195">IF((M509="x"),-30,0)</f>
        <v>0</v>
      </c>
      <c r="O509" s="16">
        <f t="shared" si="1190"/>
        <v>0</v>
      </c>
      <c r="P509" s="16">
        <f t="shared" si="1191"/>
        <v>-5</v>
      </c>
      <c r="Q509" s="16">
        <f t="shared" ref="Q509:Q511" si="1196">IF(($W$6&lt;&gt;0),$W$6*-10,20)</f>
        <v>-20</v>
      </c>
      <c r="R509" s="14"/>
      <c r="S509" s="15">
        <f t="shared" ref="S509:S511" si="1197">R509*20</f>
        <v>0</v>
      </c>
      <c r="T509" s="14"/>
      <c r="U509" s="15">
        <f t="shared" ref="U509:U511" si="1198">T509*-15</f>
        <v>0</v>
      </c>
      <c r="V509" s="16">
        <f t="shared" ref="V509:V511" si="1199">IF(AND(R509=2),10,IF(R509=3,30,IF(R509=4,50,IF(R509=5,70,0))))</f>
        <v>0</v>
      </c>
      <c r="W509" s="17">
        <f t="shared" ref="W509:W511" si="1200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COUNTA(Spieltag!K498:AA498)</f>
        <v>0</v>
      </c>
      <c r="C510" s="166">
        <f>Spieltag!A498</f>
        <v>34</v>
      </c>
      <c r="D510" s="21" t="str">
        <f>Spieltag!B498</f>
        <v>Paul Tschernuth (A)</v>
      </c>
      <c r="E510" s="12" t="str">
        <f>Spieltag!C498</f>
        <v>Torwart</v>
      </c>
      <c r="F510" s="13" t="s">
        <v>355</v>
      </c>
      <c r="G510" s="14"/>
      <c r="H510" s="15">
        <f t="shared" si="1192"/>
        <v>0</v>
      </c>
      <c r="I510" s="14"/>
      <c r="J510" s="15">
        <f t="shared" si="1193"/>
        <v>0</v>
      </c>
      <c r="K510" s="14"/>
      <c r="L510" s="15">
        <f t="shared" si="1194"/>
        <v>0</v>
      </c>
      <c r="M510" s="14"/>
      <c r="N510" s="15">
        <f t="shared" si="1195"/>
        <v>0</v>
      </c>
      <c r="O510" s="16">
        <f t="shared" si="1190"/>
        <v>0</v>
      </c>
      <c r="P510" s="16">
        <f t="shared" si="1191"/>
        <v>-5</v>
      </c>
      <c r="Q510" s="16">
        <f t="shared" si="1196"/>
        <v>-20</v>
      </c>
      <c r="R510" s="14"/>
      <c r="S510" s="15">
        <f t="shared" si="1197"/>
        <v>0</v>
      </c>
      <c r="T510" s="14"/>
      <c r="U510" s="15">
        <f t="shared" si="1198"/>
        <v>0</v>
      </c>
      <c r="V510" s="16">
        <f t="shared" si="1199"/>
        <v>0</v>
      </c>
      <c r="W510" s="17">
        <f t="shared" si="1200"/>
        <v>0</v>
      </c>
    </row>
    <row r="511" spans="1:23" ht="10.5" hidden="1" customHeight="1" x14ac:dyDescent="0.2">
      <c r="A511" s="11"/>
      <c r="B511" s="149">
        <f>COUNTA(Spieltag!K499:AA499)</f>
        <v>0</v>
      </c>
      <c r="C511" s="166">
        <f>Spieltag!A499</f>
        <v>40</v>
      </c>
      <c r="D511" s="21" t="str">
        <f>Spieltag!B499</f>
        <v>Frank Feller</v>
      </c>
      <c r="E511" s="12" t="str">
        <f>Spieltag!C499</f>
        <v>Torwart</v>
      </c>
      <c r="F511" s="13" t="s">
        <v>355</v>
      </c>
      <c r="G511" s="14"/>
      <c r="H511" s="15">
        <f t="shared" si="1192"/>
        <v>0</v>
      </c>
      <c r="I511" s="14"/>
      <c r="J511" s="15">
        <f t="shared" si="1193"/>
        <v>0</v>
      </c>
      <c r="K511" s="14"/>
      <c r="L511" s="15">
        <f t="shared" si="1194"/>
        <v>0</v>
      </c>
      <c r="M511" s="14"/>
      <c r="N511" s="15">
        <f t="shared" si="1195"/>
        <v>0</v>
      </c>
      <c r="O511" s="16">
        <f t="shared" si="1190"/>
        <v>0</v>
      </c>
      <c r="P511" s="16">
        <f t="shared" si="1191"/>
        <v>-5</v>
      </c>
      <c r="Q511" s="16">
        <f t="shared" si="1196"/>
        <v>-20</v>
      </c>
      <c r="R511" s="14"/>
      <c r="S511" s="15">
        <f t="shared" si="1197"/>
        <v>0</v>
      </c>
      <c r="T511" s="14"/>
      <c r="U511" s="15">
        <f t="shared" si="1198"/>
        <v>0</v>
      </c>
      <c r="V511" s="16">
        <f t="shared" si="1199"/>
        <v>0</v>
      </c>
      <c r="W511" s="17">
        <f t="shared" si="1200"/>
        <v>0</v>
      </c>
    </row>
    <row r="512" spans="1:23" ht="10.5" hidden="1" customHeight="1" x14ac:dyDescent="0.2">
      <c r="A512" s="11"/>
      <c r="B512" s="150">
        <f>COUNTA(Spieltag!K500:AA500)</f>
        <v>0</v>
      </c>
      <c r="C512" s="166">
        <f>Spieltag!A500</f>
        <v>2</v>
      </c>
      <c r="D512" s="21" t="str">
        <f>Spieltag!B500</f>
        <v>Marnon Busch</v>
      </c>
      <c r="E512" s="151" t="str">
        <f>Spieltag!C500</f>
        <v>Abwehr</v>
      </c>
      <c r="F512" s="152" t="s">
        <v>355</v>
      </c>
      <c r="G512" s="153"/>
      <c r="H512" s="154">
        <f t="shared" ref="H512" si="1201">IF(G512="x",10,0)</f>
        <v>0</v>
      </c>
      <c r="I512" s="153"/>
      <c r="J512" s="154">
        <f t="shared" ref="J512" si="1202">IF((I512="x"),-10,0)</f>
        <v>0</v>
      </c>
      <c r="K512" s="153"/>
      <c r="L512" s="154">
        <f t="shared" ref="L512" si="1203">IF((K512="x"),-20,0)</f>
        <v>0</v>
      </c>
      <c r="M512" s="153"/>
      <c r="N512" s="154">
        <f t="shared" ref="N512" si="1204">IF((M512="x"),-30,0)</f>
        <v>0</v>
      </c>
      <c r="O512" s="155">
        <f t="shared" si="1190"/>
        <v>0</v>
      </c>
      <c r="P512" s="155">
        <f t="shared" si="1191"/>
        <v>-5</v>
      </c>
      <c r="Q512" s="155">
        <f t="shared" ref="Q512:Q519" si="1205">IF(($W$6&lt;&gt;0),$W$6*-10,15)</f>
        <v>-20</v>
      </c>
      <c r="R512" s="153"/>
      <c r="S512" s="154">
        <f t="shared" ref="S512" si="1206">R512*15</f>
        <v>0</v>
      </c>
      <c r="T512" s="153"/>
      <c r="U512" s="154">
        <f t="shared" ref="U512" si="1207">T512*-15</f>
        <v>0</v>
      </c>
      <c r="V512" s="155">
        <f t="shared" ref="V512" si="1208">IF(AND(R512=2),10,IF(R512=3,30,IF(R512=4,50,IF(R512=5,70,0))))</f>
        <v>0</v>
      </c>
      <c r="W512" s="156">
        <f t="shared" ref="W512" si="1209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COUNTA(Spieltag!K501:AA501)</f>
        <v>0</v>
      </c>
      <c r="C513" s="166">
        <f>Spieltag!A501</f>
        <v>4</v>
      </c>
      <c r="D513" s="21" t="str">
        <f>Spieltag!B501</f>
        <v>Tim Siersleben</v>
      </c>
      <c r="E513" s="151" t="str">
        <f>Spieltag!C501</f>
        <v>Abwehr</v>
      </c>
      <c r="F513" s="152" t="s">
        <v>355</v>
      </c>
      <c r="G513" s="153"/>
      <c r="H513" s="154">
        <f t="shared" ref="H513:H519" si="1210">IF(G513="x",10,0)</f>
        <v>0</v>
      </c>
      <c r="I513" s="153"/>
      <c r="J513" s="154">
        <f t="shared" ref="J513:J519" si="1211">IF((I513="x"),-10,0)</f>
        <v>0</v>
      </c>
      <c r="K513" s="153"/>
      <c r="L513" s="154">
        <f t="shared" ref="L513:L519" si="1212">IF((K513="x"),-20,0)</f>
        <v>0</v>
      </c>
      <c r="M513" s="153"/>
      <c r="N513" s="154">
        <f t="shared" ref="N513:N519" si="1213">IF((M513="x"),-30,0)</f>
        <v>0</v>
      </c>
      <c r="O513" s="155">
        <f t="shared" si="1190"/>
        <v>0</v>
      </c>
      <c r="P513" s="155">
        <f t="shared" si="1191"/>
        <v>-5</v>
      </c>
      <c r="Q513" s="155">
        <f t="shared" si="1205"/>
        <v>-20</v>
      </c>
      <c r="R513" s="153"/>
      <c r="S513" s="154">
        <f t="shared" ref="S513:S519" si="1214">R513*15</f>
        <v>0</v>
      </c>
      <c r="T513" s="153"/>
      <c r="U513" s="154">
        <f t="shared" ref="U513:U519" si="1215">T513*-15</f>
        <v>0</v>
      </c>
      <c r="V513" s="155">
        <f t="shared" ref="V513:V519" si="1216">IF(AND(R513=2),10,IF(R513=3,30,IF(R513=4,50,IF(R513=5,70,0))))</f>
        <v>0</v>
      </c>
      <c r="W513" s="156">
        <f t="shared" ref="W513:W519" si="1217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COUNTA(Spieltag!K502:AA502)</f>
        <v>0</v>
      </c>
      <c r="C514" s="166">
        <f>Spieltag!A502</f>
        <v>6</v>
      </c>
      <c r="D514" s="21" t="str">
        <f>Spieltag!B502</f>
        <v>Patrick Mainka</v>
      </c>
      <c r="E514" s="151" t="str">
        <f>Spieltag!C502</f>
        <v>Abwehr</v>
      </c>
      <c r="F514" s="152" t="s">
        <v>355</v>
      </c>
      <c r="G514" s="153"/>
      <c r="H514" s="154">
        <f t="shared" si="1210"/>
        <v>0</v>
      </c>
      <c r="I514" s="153"/>
      <c r="J514" s="154">
        <f t="shared" si="1211"/>
        <v>0</v>
      </c>
      <c r="K514" s="153"/>
      <c r="L514" s="154">
        <f t="shared" si="1212"/>
        <v>0</v>
      </c>
      <c r="M514" s="153"/>
      <c r="N514" s="154">
        <f t="shared" si="1213"/>
        <v>0</v>
      </c>
      <c r="O514" s="155">
        <f t="shared" si="1190"/>
        <v>0</v>
      </c>
      <c r="P514" s="155">
        <f t="shared" si="1191"/>
        <v>-5</v>
      </c>
      <c r="Q514" s="155">
        <f t="shared" si="1205"/>
        <v>-20</v>
      </c>
      <c r="R514" s="153"/>
      <c r="S514" s="154">
        <f t="shared" si="1214"/>
        <v>0</v>
      </c>
      <c r="T514" s="153"/>
      <c r="U514" s="154">
        <f t="shared" si="1215"/>
        <v>0</v>
      </c>
      <c r="V514" s="155">
        <f t="shared" si="1216"/>
        <v>0</v>
      </c>
      <c r="W514" s="156">
        <f t="shared" si="1217"/>
        <v>0</v>
      </c>
    </row>
    <row r="515" spans="1:23" ht="10.5" hidden="1" customHeight="1" x14ac:dyDescent="0.2">
      <c r="A515" s="11"/>
      <c r="B515" s="150">
        <f>COUNTA(Spieltag!K503:AA503)</f>
        <v>0</v>
      </c>
      <c r="C515" s="166">
        <f>Spieltag!A503</f>
        <v>19</v>
      </c>
      <c r="D515" s="21" t="str">
        <f>Spieltag!B503</f>
        <v>Jonas Föhrenbach</v>
      </c>
      <c r="E515" s="151" t="str">
        <f>Spieltag!C503</f>
        <v>Abwehr</v>
      </c>
      <c r="F515" s="152" t="s">
        <v>355</v>
      </c>
      <c r="G515" s="153"/>
      <c r="H515" s="154">
        <f t="shared" si="1210"/>
        <v>0</v>
      </c>
      <c r="I515" s="153"/>
      <c r="J515" s="154">
        <f t="shared" si="1211"/>
        <v>0</v>
      </c>
      <c r="K515" s="153"/>
      <c r="L515" s="154">
        <f t="shared" si="1212"/>
        <v>0</v>
      </c>
      <c r="M515" s="153"/>
      <c r="N515" s="154">
        <f t="shared" si="1213"/>
        <v>0</v>
      </c>
      <c r="O515" s="155">
        <f t="shared" si="1190"/>
        <v>0</v>
      </c>
      <c r="P515" s="155">
        <f t="shared" si="1191"/>
        <v>-5</v>
      </c>
      <c r="Q515" s="155">
        <f t="shared" si="1205"/>
        <v>-20</v>
      </c>
      <c r="R515" s="153"/>
      <c r="S515" s="154">
        <f t="shared" si="1214"/>
        <v>0</v>
      </c>
      <c r="T515" s="153"/>
      <c r="U515" s="154">
        <f t="shared" si="1215"/>
        <v>0</v>
      </c>
      <c r="V515" s="155">
        <f t="shared" si="1216"/>
        <v>0</v>
      </c>
      <c r="W515" s="156">
        <f t="shared" si="1217"/>
        <v>0</v>
      </c>
    </row>
    <row r="516" spans="1:23" ht="10.5" hidden="1" customHeight="1" x14ac:dyDescent="0.2">
      <c r="A516" s="11"/>
      <c r="B516" s="150">
        <f>COUNTA(Spieltag!K504:AA504)</f>
        <v>0</v>
      </c>
      <c r="C516" s="166">
        <f>Spieltag!A504</f>
        <v>23</v>
      </c>
      <c r="D516" s="21" t="str">
        <f>Spieltag!B504</f>
        <v>Omar Haktab Traore</v>
      </c>
      <c r="E516" s="151" t="str">
        <f>Spieltag!C504</f>
        <v>Abwehr</v>
      </c>
      <c r="F516" s="152" t="s">
        <v>355</v>
      </c>
      <c r="G516" s="153"/>
      <c r="H516" s="154">
        <f t="shared" si="1210"/>
        <v>0</v>
      </c>
      <c r="I516" s="153"/>
      <c r="J516" s="154">
        <f t="shared" si="1211"/>
        <v>0</v>
      </c>
      <c r="K516" s="153"/>
      <c r="L516" s="154">
        <f t="shared" si="1212"/>
        <v>0</v>
      </c>
      <c r="M516" s="153"/>
      <c r="N516" s="154">
        <f t="shared" si="1213"/>
        <v>0</v>
      </c>
      <c r="O516" s="155">
        <f t="shared" si="1190"/>
        <v>0</v>
      </c>
      <c r="P516" s="155">
        <f t="shared" si="1191"/>
        <v>-5</v>
      </c>
      <c r="Q516" s="155">
        <f t="shared" si="1205"/>
        <v>-20</v>
      </c>
      <c r="R516" s="153"/>
      <c r="S516" s="154">
        <f t="shared" si="1214"/>
        <v>0</v>
      </c>
      <c r="T516" s="153"/>
      <c r="U516" s="154">
        <f t="shared" si="1215"/>
        <v>0</v>
      </c>
      <c r="V516" s="155">
        <f t="shared" si="1216"/>
        <v>0</v>
      </c>
      <c r="W516" s="156">
        <f t="shared" si="1217"/>
        <v>0</v>
      </c>
    </row>
    <row r="517" spans="1:23" ht="10.5" hidden="1" customHeight="1" x14ac:dyDescent="0.2">
      <c r="A517" s="11"/>
      <c r="B517" s="150">
        <f>COUNTA(Spieltag!K505:AA505)</f>
        <v>0</v>
      </c>
      <c r="C517" s="166">
        <f>Spieltag!A505</f>
        <v>27</v>
      </c>
      <c r="D517" s="21" t="str">
        <f>Spieltag!B505</f>
        <v>Thomas Keller</v>
      </c>
      <c r="E517" s="151" t="str">
        <f>Spieltag!C505</f>
        <v>Abwehr</v>
      </c>
      <c r="F517" s="152" t="s">
        <v>355</v>
      </c>
      <c r="G517" s="153"/>
      <c r="H517" s="154">
        <f t="shared" si="1210"/>
        <v>0</v>
      </c>
      <c r="I517" s="153"/>
      <c r="J517" s="154">
        <f t="shared" si="1211"/>
        <v>0</v>
      </c>
      <c r="K517" s="153"/>
      <c r="L517" s="154">
        <f t="shared" si="1212"/>
        <v>0</v>
      </c>
      <c r="M517" s="153"/>
      <c r="N517" s="154">
        <f t="shared" si="1213"/>
        <v>0</v>
      </c>
      <c r="O517" s="155">
        <f t="shared" si="1190"/>
        <v>0</v>
      </c>
      <c r="P517" s="155">
        <f t="shared" si="1191"/>
        <v>-5</v>
      </c>
      <c r="Q517" s="155">
        <f t="shared" si="1205"/>
        <v>-20</v>
      </c>
      <c r="R517" s="153"/>
      <c r="S517" s="154">
        <f t="shared" si="1214"/>
        <v>0</v>
      </c>
      <c r="T517" s="153"/>
      <c r="U517" s="154">
        <f t="shared" si="1215"/>
        <v>0</v>
      </c>
      <c r="V517" s="155">
        <f t="shared" si="1216"/>
        <v>0</v>
      </c>
      <c r="W517" s="156">
        <f t="shared" si="1217"/>
        <v>0</v>
      </c>
    </row>
    <row r="518" spans="1:23" ht="10.5" hidden="1" customHeight="1" x14ac:dyDescent="0.2">
      <c r="A518" s="11"/>
      <c r="B518" s="150">
        <f>COUNTA(Spieltag!K506:AA506)</f>
        <v>0</v>
      </c>
      <c r="C518" s="166">
        <f>Spieltag!A506</f>
        <v>29</v>
      </c>
      <c r="D518" s="21" t="str">
        <f>Spieltag!B506</f>
        <v>Seedy Jarju</v>
      </c>
      <c r="E518" s="151" t="str">
        <f>Spieltag!C506</f>
        <v>Abwehr</v>
      </c>
      <c r="F518" s="152" t="s">
        <v>355</v>
      </c>
      <c r="G518" s="153"/>
      <c r="H518" s="154">
        <f t="shared" si="1210"/>
        <v>0</v>
      </c>
      <c r="I518" s="153"/>
      <c r="J518" s="154">
        <f t="shared" si="1211"/>
        <v>0</v>
      </c>
      <c r="K518" s="153"/>
      <c r="L518" s="154">
        <f t="shared" si="1212"/>
        <v>0</v>
      </c>
      <c r="M518" s="153"/>
      <c r="N518" s="154">
        <f t="shared" si="1213"/>
        <v>0</v>
      </c>
      <c r="O518" s="155">
        <f t="shared" si="1190"/>
        <v>0</v>
      </c>
      <c r="P518" s="155">
        <f t="shared" si="1191"/>
        <v>-5</v>
      </c>
      <c r="Q518" s="155">
        <f t="shared" si="1205"/>
        <v>-20</v>
      </c>
      <c r="R518" s="153"/>
      <c r="S518" s="154">
        <f t="shared" si="1214"/>
        <v>0</v>
      </c>
      <c r="T518" s="153"/>
      <c r="U518" s="154">
        <f t="shared" si="1215"/>
        <v>0</v>
      </c>
      <c r="V518" s="155">
        <f t="shared" si="1216"/>
        <v>0</v>
      </c>
      <c r="W518" s="156">
        <f t="shared" si="1217"/>
        <v>0</v>
      </c>
    </row>
    <row r="519" spans="1:23" ht="10.5" hidden="1" customHeight="1" x14ac:dyDescent="0.2">
      <c r="A519" s="11"/>
      <c r="B519" s="150">
        <f>COUNTA(Spieltag!K507:AA507)</f>
        <v>0</v>
      </c>
      <c r="C519" s="166">
        <f>Spieltag!A507</f>
        <v>30</v>
      </c>
      <c r="D519" s="21" t="str">
        <f>Spieltag!B507</f>
        <v>Norman Theuerkauf</v>
      </c>
      <c r="E519" s="151" t="str">
        <f>Spieltag!C507</f>
        <v>Abwehr</v>
      </c>
      <c r="F519" s="152" t="s">
        <v>355</v>
      </c>
      <c r="G519" s="153"/>
      <c r="H519" s="154">
        <f t="shared" si="1210"/>
        <v>0</v>
      </c>
      <c r="I519" s="153"/>
      <c r="J519" s="154">
        <f t="shared" si="1211"/>
        <v>0</v>
      </c>
      <c r="K519" s="153"/>
      <c r="L519" s="154">
        <f t="shared" si="1212"/>
        <v>0</v>
      </c>
      <c r="M519" s="153"/>
      <c r="N519" s="154">
        <f t="shared" si="1213"/>
        <v>0</v>
      </c>
      <c r="O519" s="155">
        <f t="shared" si="1190"/>
        <v>0</v>
      </c>
      <c r="P519" s="155">
        <f t="shared" si="1191"/>
        <v>-5</v>
      </c>
      <c r="Q519" s="155">
        <f t="shared" si="1205"/>
        <v>-20</v>
      </c>
      <c r="R519" s="153"/>
      <c r="S519" s="154">
        <f t="shared" si="1214"/>
        <v>0</v>
      </c>
      <c r="T519" s="153"/>
      <c r="U519" s="154">
        <f t="shared" si="1215"/>
        <v>0</v>
      </c>
      <c r="V519" s="155">
        <f t="shared" si="1216"/>
        <v>0</v>
      </c>
      <c r="W519" s="156">
        <f t="shared" si="1217"/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3</v>
      </c>
      <c r="D520" s="21" t="str">
        <f>Spieltag!B508</f>
        <v>Jan Schöppner</v>
      </c>
      <c r="E520" s="12" t="str">
        <f>Spieltag!C508</f>
        <v>Mittelfeld</v>
      </c>
      <c r="F520" s="13" t="s">
        <v>355</v>
      </c>
      <c r="G520" s="14"/>
      <c r="H520" s="15">
        <f t="shared" ref="H520" si="1218">IF(G520="x",10,0)</f>
        <v>0</v>
      </c>
      <c r="I520" s="14"/>
      <c r="J520" s="15">
        <f t="shared" ref="J520" si="1219">IF((I520="x"),-10,0)</f>
        <v>0</v>
      </c>
      <c r="K520" s="14"/>
      <c r="L520" s="15">
        <f t="shared" ref="L520" si="1220">IF((K520="x"),-20,0)</f>
        <v>0</v>
      </c>
      <c r="M520" s="14"/>
      <c r="N520" s="15">
        <f t="shared" ref="N520" si="1221">IF((M520="x"),-30,0)</f>
        <v>0</v>
      </c>
      <c r="O520" s="16">
        <f t="shared" ref="O520:O531" si="1222">IF(AND($V$6&gt;$W$6),20,IF($V$6=$W$6,10,0))</f>
        <v>0</v>
      </c>
      <c r="P520" s="16">
        <f t="shared" ref="P520:P531" si="1223">IF(($V$6&lt;&gt;0),$V$6*10,-5)</f>
        <v>-5</v>
      </c>
      <c r="Q520" s="16">
        <f t="shared" ref="Q520:Q531" si="1224">IF(($W$6&lt;&gt;0),$W$6*-10,10)</f>
        <v>-20</v>
      </c>
      <c r="R520" s="14"/>
      <c r="S520" s="15">
        <f t="shared" ref="S520" si="1225">R520*10</f>
        <v>0</v>
      </c>
      <c r="T520" s="14"/>
      <c r="U520" s="15">
        <f t="shared" ref="U520" si="1226">T520*-15</f>
        <v>0</v>
      </c>
      <c r="V520" s="16">
        <f t="shared" ref="V520" si="1227">IF(AND(R520=2),10,IF(R520=3,30,IF(R520=4,50,IF(R520=5,70,0))))</f>
        <v>0</v>
      </c>
      <c r="W520" s="17">
        <f t="shared" ref="W520" si="1228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5</v>
      </c>
      <c r="D521" s="21" t="str">
        <f>Spieltag!B509</f>
        <v>Benedikt Gimber</v>
      </c>
      <c r="E521" s="12" t="str">
        <f>Spieltag!C509</f>
        <v>Mittelfeld</v>
      </c>
      <c r="F521" s="13" t="s">
        <v>355</v>
      </c>
      <c r="G521" s="14"/>
      <c r="H521" s="15">
        <f t="shared" ref="H521:H531" si="1229">IF(G521="x",10,0)</f>
        <v>0</v>
      </c>
      <c r="I521" s="14"/>
      <c r="J521" s="15">
        <f t="shared" ref="J521:J531" si="1230">IF((I521="x"),-10,0)</f>
        <v>0</v>
      </c>
      <c r="K521" s="14"/>
      <c r="L521" s="15">
        <f t="shared" ref="L521:L531" si="1231">IF((K521="x"),-20,0)</f>
        <v>0</v>
      </c>
      <c r="M521" s="14"/>
      <c r="N521" s="15">
        <f t="shared" ref="N521:N531" si="1232">IF((M521="x"),-30,0)</f>
        <v>0</v>
      </c>
      <c r="O521" s="16">
        <f t="shared" si="1222"/>
        <v>0</v>
      </c>
      <c r="P521" s="16">
        <f t="shared" si="1223"/>
        <v>-5</v>
      </c>
      <c r="Q521" s="16">
        <f t="shared" si="1224"/>
        <v>-20</v>
      </c>
      <c r="R521" s="14"/>
      <c r="S521" s="15">
        <f t="shared" ref="S521:S531" si="1233">R521*10</f>
        <v>0</v>
      </c>
      <c r="T521" s="14"/>
      <c r="U521" s="15">
        <f t="shared" ref="U521:U531" si="1234">T521*-15</f>
        <v>0</v>
      </c>
      <c r="V521" s="16">
        <f t="shared" ref="V521:V531" si="1235">IF(AND(R521=2),10,IF(R521=3,30,IF(R521=4,50,IF(R521=5,70,0))))</f>
        <v>0</v>
      </c>
      <c r="W521" s="17">
        <f t="shared" ref="W521:W531" si="1236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8</v>
      </c>
      <c r="D522" s="21" t="str">
        <f>Spieltag!B510</f>
        <v>Eren Sami Dinkci</v>
      </c>
      <c r="E522" s="12" t="str">
        <f>Spieltag!C510</f>
        <v>Mittelfeld</v>
      </c>
      <c r="F522" s="13" t="s">
        <v>355</v>
      </c>
      <c r="G522" s="14"/>
      <c r="H522" s="15">
        <f t="shared" si="1229"/>
        <v>0</v>
      </c>
      <c r="I522" s="14"/>
      <c r="J522" s="15">
        <f t="shared" si="1230"/>
        <v>0</v>
      </c>
      <c r="K522" s="14"/>
      <c r="L522" s="15">
        <f t="shared" si="1231"/>
        <v>0</v>
      </c>
      <c r="M522" s="14"/>
      <c r="N522" s="15">
        <f t="shared" si="1232"/>
        <v>0</v>
      </c>
      <c r="O522" s="16">
        <f t="shared" si="1222"/>
        <v>0</v>
      </c>
      <c r="P522" s="16">
        <f t="shared" si="1223"/>
        <v>-5</v>
      </c>
      <c r="Q522" s="16">
        <f t="shared" si="1224"/>
        <v>-20</v>
      </c>
      <c r="R522" s="14"/>
      <c r="S522" s="15">
        <f t="shared" si="1233"/>
        <v>0</v>
      </c>
      <c r="T522" s="14"/>
      <c r="U522" s="15">
        <f t="shared" si="1234"/>
        <v>0</v>
      </c>
      <c r="V522" s="16">
        <f t="shared" si="1235"/>
        <v>0</v>
      </c>
      <c r="W522" s="17">
        <f t="shared" si="1236"/>
        <v>0</v>
      </c>
    </row>
    <row r="523" spans="1:23" ht="10.5" hidden="1" customHeight="1" x14ac:dyDescent="0.2">
      <c r="A523" s="11"/>
      <c r="B523" s="149">
        <f>COUNTA(Spieltag!K511:AA511)</f>
        <v>0</v>
      </c>
      <c r="C523" s="166">
        <f>Spieltag!A511</f>
        <v>11</v>
      </c>
      <c r="D523" s="21" t="str">
        <f>Spieltag!B511</f>
        <v>Denis Thomalla</v>
      </c>
      <c r="E523" s="12" t="str">
        <f>Spieltag!C511</f>
        <v>Mittelfeld</v>
      </c>
      <c r="F523" s="13" t="s">
        <v>355</v>
      </c>
      <c r="G523" s="14"/>
      <c r="H523" s="15">
        <f t="shared" si="1229"/>
        <v>0</v>
      </c>
      <c r="I523" s="14"/>
      <c r="J523" s="15">
        <f t="shared" si="1230"/>
        <v>0</v>
      </c>
      <c r="K523" s="14"/>
      <c r="L523" s="15">
        <f t="shared" si="1231"/>
        <v>0</v>
      </c>
      <c r="M523" s="14"/>
      <c r="N523" s="15">
        <f t="shared" si="1232"/>
        <v>0</v>
      </c>
      <c r="O523" s="16">
        <f t="shared" si="1222"/>
        <v>0</v>
      </c>
      <c r="P523" s="16">
        <f t="shared" si="1223"/>
        <v>-5</v>
      </c>
      <c r="Q523" s="16">
        <f t="shared" si="1224"/>
        <v>-20</v>
      </c>
      <c r="R523" s="14"/>
      <c r="S523" s="15">
        <f t="shared" si="1233"/>
        <v>0</v>
      </c>
      <c r="T523" s="14"/>
      <c r="U523" s="15">
        <f t="shared" si="1234"/>
        <v>0</v>
      </c>
      <c r="V523" s="16">
        <f t="shared" si="1235"/>
        <v>0</v>
      </c>
      <c r="W523" s="17">
        <f t="shared" si="1236"/>
        <v>0</v>
      </c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16</v>
      </c>
      <c r="D524" s="21" t="str">
        <f>Spieltag!B512</f>
        <v>Kevin Sessa</v>
      </c>
      <c r="E524" s="12" t="str">
        <f>Spieltag!C512</f>
        <v>Mittelfeld</v>
      </c>
      <c r="F524" s="13" t="s">
        <v>355</v>
      </c>
      <c r="G524" s="14"/>
      <c r="H524" s="15">
        <f t="shared" si="1229"/>
        <v>0</v>
      </c>
      <c r="I524" s="14"/>
      <c r="J524" s="15">
        <f t="shared" si="1230"/>
        <v>0</v>
      </c>
      <c r="K524" s="14"/>
      <c r="L524" s="15">
        <f t="shared" si="1231"/>
        <v>0</v>
      </c>
      <c r="M524" s="14"/>
      <c r="N524" s="15">
        <f t="shared" si="1232"/>
        <v>0</v>
      </c>
      <c r="O524" s="16">
        <f t="shared" si="1222"/>
        <v>0</v>
      </c>
      <c r="P524" s="16">
        <f t="shared" si="1223"/>
        <v>-5</v>
      </c>
      <c r="Q524" s="16">
        <f t="shared" si="1224"/>
        <v>-20</v>
      </c>
      <c r="R524" s="14"/>
      <c r="S524" s="15">
        <f t="shared" si="1233"/>
        <v>0</v>
      </c>
      <c r="T524" s="14"/>
      <c r="U524" s="15">
        <f t="shared" si="1234"/>
        <v>0</v>
      </c>
      <c r="V524" s="16">
        <f t="shared" si="1235"/>
        <v>0</v>
      </c>
      <c r="W524" s="17">
        <f t="shared" si="1236"/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17</v>
      </c>
      <c r="D525" s="21" t="str">
        <f>Spieltag!B513</f>
        <v>Florian Pick</v>
      </c>
      <c r="E525" s="12" t="str">
        <f>Spieltag!C513</f>
        <v>Mittelfeld</v>
      </c>
      <c r="F525" s="13" t="s">
        <v>355</v>
      </c>
      <c r="G525" s="14"/>
      <c r="H525" s="15">
        <f t="shared" si="1229"/>
        <v>0</v>
      </c>
      <c r="I525" s="14"/>
      <c r="J525" s="15">
        <f t="shared" si="1230"/>
        <v>0</v>
      </c>
      <c r="K525" s="14"/>
      <c r="L525" s="15">
        <f t="shared" si="1231"/>
        <v>0</v>
      </c>
      <c r="M525" s="14"/>
      <c r="N525" s="15">
        <f t="shared" si="1232"/>
        <v>0</v>
      </c>
      <c r="O525" s="16">
        <f t="shared" si="1222"/>
        <v>0</v>
      </c>
      <c r="P525" s="16">
        <f t="shared" si="1223"/>
        <v>-5</v>
      </c>
      <c r="Q525" s="16">
        <f t="shared" si="1224"/>
        <v>-20</v>
      </c>
      <c r="R525" s="14"/>
      <c r="S525" s="15">
        <f t="shared" si="1233"/>
        <v>0</v>
      </c>
      <c r="T525" s="14"/>
      <c r="U525" s="15">
        <f t="shared" si="1234"/>
        <v>0</v>
      </c>
      <c r="V525" s="16">
        <f t="shared" si="1235"/>
        <v>0</v>
      </c>
      <c r="W525" s="17">
        <f t="shared" si="1236"/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21</v>
      </c>
      <c r="D526" s="21" t="str">
        <f>Spieltag!B514</f>
        <v>Adrian Beck</v>
      </c>
      <c r="E526" s="12" t="str">
        <f>Spieltag!C514</f>
        <v>Mittelfeld</v>
      </c>
      <c r="F526" s="13" t="s">
        <v>355</v>
      </c>
      <c r="G526" s="14"/>
      <c r="H526" s="15">
        <f t="shared" si="1229"/>
        <v>0</v>
      </c>
      <c r="I526" s="14"/>
      <c r="J526" s="15">
        <f t="shared" si="1230"/>
        <v>0</v>
      </c>
      <c r="K526" s="14"/>
      <c r="L526" s="15">
        <f t="shared" si="1231"/>
        <v>0</v>
      </c>
      <c r="M526" s="14"/>
      <c r="N526" s="15">
        <f t="shared" si="1232"/>
        <v>0</v>
      </c>
      <c r="O526" s="16">
        <f t="shared" si="1222"/>
        <v>0</v>
      </c>
      <c r="P526" s="16">
        <f t="shared" si="1223"/>
        <v>-5</v>
      </c>
      <c r="Q526" s="16">
        <f t="shared" si="1224"/>
        <v>-20</v>
      </c>
      <c r="R526" s="14"/>
      <c r="S526" s="15">
        <f t="shared" si="1233"/>
        <v>0</v>
      </c>
      <c r="T526" s="14"/>
      <c r="U526" s="15">
        <f t="shared" si="1234"/>
        <v>0</v>
      </c>
      <c r="V526" s="16">
        <f t="shared" si="1235"/>
        <v>0</v>
      </c>
      <c r="W526" s="17">
        <f t="shared" si="1236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26</v>
      </c>
      <c r="D527" s="21" t="str">
        <f>Spieltag!B515</f>
        <v>Tim Köther</v>
      </c>
      <c r="E527" s="12" t="str">
        <f>Spieltag!C515</f>
        <v>Mittelfeld</v>
      </c>
      <c r="F527" s="13" t="s">
        <v>355</v>
      </c>
      <c r="G527" s="14"/>
      <c r="H527" s="15">
        <f t="shared" si="1229"/>
        <v>0</v>
      </c>
      <c r="I527" s="14"/>
      <c r="J527" s="15">
        <f t="shared" si="1230"/>
        <v>0</v>
      </c>
      <c r="K527" s="14"/>
      <c r="L527" s="15">
        <f t="shared" si="1231"/>
        <v>0</v>
      </c>
      <c r="M527" s="14"/>
      <c r="N527" s="15">
        <f t="shared" si="1232"/>
        <v>0</v>
      </c>
      <c r="O527" s="16">
        <f t="shared" si="1222"/>
        <v>0</v>
      </c>
      <c r="P527" s="16">
        <f t="shared" si="1223"/>
        <v>-5</v>
      </c>
      <c r="Q527" s="16">
        <f t="shared" si="1224"/>
        <v>-20</v>
      </c>
      <c r="R527" s="14"/>
      <c r="S527" s="15">
        <f t="shared" si="1233"/>
        <v>0</v>
      </c>
      <c r="T527" s="14"/>
      <c r="U527" s="15">
        <f t="shared" si="1234"/>
        <v>0</v>
      </c>
      <c r="V527" s="16">
        <f t="shared" si="1235"/>
        <v>0</v>
      </c>
      <c r="W527" s="17">
        <f t="shared" si="1236"/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28</v>
      </c>
      <c r="D528" s="21" t="str">
        <f>Spieltag!B516</f>
        <v>Melvin Ramusovic</v>
      </c>
      <c r="E528" s="12" t="str">
        <f>Spieltag!C516</f>
        <v>Mittelfeld</v>
      </c>
      <c r="F528" s="13" t="s">
        <v>355</v>
      </c>
      <c r="G528" s="14"/>
      <c r="H528" s="15">
        <f t="shared" si="1229"/>
        <v>0</v>
      </c>
      <c r="I528" s="14"/>
      <c r="J528" s="15">
        <f t="shared" si="1230"/>
        <v>0</v>
      </c>
      <c r="K528" s="14"/>
      <c r="L528" s="15">
        <f t="shared" si="1231"/>
        <v>0</v>
      </c>
      <c r="M528" s="14"/>
      <c r="N528" s="15">
        <f t="shared" si="1232"/>
        <v>0</v>
      </c>
      <c r="O528" s="16">
        <f t="shared" si="1222"/>
        <v>0</v>
      </c>
      <c r="P528" s="16">
        <f t="shared" si="1223"/>
        <v>-5</v>
      </c>
      <c r="Q528" s="16">
        <f t="shared" si="1224"/>
        <v>-20</v>
      </c>
      <c r="R528" s="14"/>
      <c r="S528" s="15">
        <f t="shared" si="1233"/>
        <v>0</v>
      </c>
      <c r="T528" s="14"/>
      <c r="U528" s="15">
        <f t="shared" si="1234"/>
        <v>0</v>
      </c>
      <c r="V528" s="16">
        <f t="shared" si="1235"/>
        <v>0</v>
      </c>
      <c r="W528" s="17">
        <f t="shared" si="1236"/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33</v>
      </c>
      <c r="D529" s="21" t="str">
        <f>Spieltag!B517</f>
        <v>Lennard Maloney</v>
      </c>
      <c r="E529" s="12" t="str">
        <f>Spieltag!C517</f>
        <v>Mittelfeld</v>
      </c>
      <c r="F529" s="13" t="s">
        <v>355</v>
      </c>
      <c r="G529" s="14"/>
      <c r="H529" s="15">
        <f t="shared" si="1229"/>
        <v>0</v>
      </c>
      <c r="I529" s="14"/>
      <c r="J529" s="15">
        <f t="shared" si="1230"/>
        <v>0</v>
      </c>
      <c r="K529" s="14"/>
      <c r="L529" s="15">
        <f t="shared" si="1231"/>
        <v>0</v>
      </c>
      <c r="M529" s="14"/>
      <c r="N529" s="15">
        <f t="shared" si="1232"/>
        <v>0</v>
      </c>
      <c r="O529" s="16">
        <f t="shared" si="1222"/>
        <v>0</v>
      </c>
      <c r="P529" s="16">
        <f t="shared" si="1223"/>
        <v>-5</v>
      </c>
      <c r="Q529" s="16">
        <f t="shared" si="1224"/>
        <v>-20</v>
      </c>
      <c r="R529" s="14"/>
      <c r="S529" s="15">
        <f t="shared" si="1233"/>
        <v>0</v>
      </c>
      <c r="T529" s="14"/>
      <c r="U529" s="15">
        <f t="shared" si="1234"/>
        <v>0</v>
      </c>
      <c r="V529" s="16">
        <f t="shared" si="1235"/>
        <v>0</v>
      </c>
      <c r="W529" s="17">
        <f t="shared" si="1236"/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36</v>
      </c>
      <c r="D530" s="21" t="str">
        <f>Spieltag!B518</f>
        <v>Luka Janes</v>
      </c>
      <c r="E530" s="12" t="str">
        <f>Spieltag!C518</f>
        <v>Mittelfeld</v>
      </c>
      <c r="F530" s="13" t="s">
        <v>355</v>
      </c>
      <c r="G530" s="14"/>
      <c r="H530" s="15">
        <f t="shared" si="1229"/>
        <v>0</v>
      </c>
      <c r="I530" s="14"/>
      <c r="J530" s="15">
        <f t="shared" si="1230"/>
        <v>0</v>
      </c>
      <c r="K530" s="14"/>
      <c r="L530" s="15">
        <f t="shared" si="1231"/>
        <v>0</v>
      </c>
      <c r="M530" s="14"/>
      <c r="N530" s="15">
        <f t="shared" si="1232"/>
        <v>0</v>
      </c>
      <c r="O530" s="16">
        <f t="shared" si="1222"/>
        <v>0</v>
      </c>
      <c r="P530" s="16">
        <f t="shared" si="1223"/>
        <v>-5</v>
      </c>
      <c r="Q530" s="16">
        <f t="shared" si="1224"/>
        <v>-20</v>
      </c>
      <c r="R530" s="14"/>
      <c r="S530" s="15">
        <f t="shared" si="1233"/>
        <v>0</v>
      </c>
      <c r="T530" s="14"/>
      <c r="U530" s="15">
        <f t="shared" si="1234"/>
        <v>0</v>
      </c>
      <c r="V530" s="16">
        <f t="shared" si="1235"/>
        <v>0</v>
      </c>
      <c r="W530" s="17">
        <f t="shared" si="1236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37</v>
      </c>
      <c r="D531" s="21" t="str">
        <f>Spieltag!B519</f>
        <v>Jan-Niklas Beste</v>
      </c>
      <c r="E531" s="12" t="str">
        <f>Spieltag!C519</f>
        <v>Mittelfeld</v>
      </c>
      <c r="F531" s="13" t="s">
        <v>355</v>
      </c>
      <c r="G531" s="14"/>
      <c r="H531" s="15">
        <f t="shared" si="1229"/>
        <v>0</v>
      </c>
      <c r="I531" s="14"/>
      <c r="J531" s="15">
        <f t="shared" si="1230"/>
        <v>0</v>
      </c>
      <c r="K531" s="14"/>
      <c r="L531" s="15">
        <f t="shared" si="1231"/>
        <v>0</v>
      </c>
      <c r="M531" s="14"/>
      <c r="N531" s="15">
        <f t="shared" si="1232"/>
        <v>0</v>
      </c>
      <c r="O531" s="16">
        <f t="shared" si="1222"/>
        <v>0</v>
      </c>
      <c r="P531" s="16">
        <f t="shared" si="1223"/>
        <v>-5</v>
      </c>
      <c r="Q531" s="16">
        <f t="shared" si="1224"/>
        <v>-20</v>
      </c>
      <c r="R531" s="14"/>
      <c r="S531" s="15">
        <f t="shared" si="1233"/>
        <v>0</v>
      </c>
      <c r="T531" s="14"/>
      <c r="U531" s="15">
        <f t="shared" si="1234"/>
        <v>0</v>
      </c>
      <c r="V531" s="16">
        <f t="shared" si="1235"/>
        <v>0</v>
      </c>
      <c r="W531" s="17">
        <f t="shared" si="1236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9</v>
      </c>
      <c r="D532" s="21" t="str">
        <f>Spieltag!B520</f>
        <v>Stefan Schimmer</v>
      </c>
      <c r="E532" s="12" t="str">
        <f>Spieltag!C520</f>
        <v>Sturm</v>
      </c>
      <c r="F532" s="13" t="s">
        <v>355</v>
      </c>
      <c r="G532" s="14"/>
      <c r="H532" s="15">
        <f t="shared" ref="H532" si="1237">IF(G532="x",10,0)</f>
        <v>0</v>
      </c>
      <c r="I532" s="14"/>
      <c r="J532" s="15">
        <f t="shared" ref="J532" si="1238">IF((I532="x"),-10,0)</f>
        <v>0</v>
      </c>
      <c r="K532" s="14"/>
      <c r="L532" s="15">
        <f t="shared" ref="L532" si="1239">IF((K532="x"),-20,0)</f>
        <v>0</v>
      </c>
      <c r="M532" s="14"/>
      <c r="N532" s="15">
        <f t="shared" ref="N532" si="1240">IF((M532="x"),-30,0)</f>
        <v>0</v>
      </c>
      <c r="O532" s="16">
        <f>IF(AND($V$6&gt;$W$6),20,IF($V$6=$W$6,10,0))</f>
        <v>0</v>
      </c>
      <c r="P532" s="16">
        <f>IF(($V$6&lt;&gt;0),$V$6*10,-5)</f>
        <v>-5</v>
      </c>
      <c r="Q532" s="16">
        <f>IF(($W$6&lt;&gt;0),$W$6*-10,5)</f>
        <v>-20</v>
      </c>
      <c r="R532" s="14"/>
      <c r="S532" s="15">
        <f t="shared" ref="S532" si="1241">R532*10</f>
        <v>0</v>
      </c>
      <c r="T532" s="14"/>
      <c r="U532" s="15">
        <f t="shared" ref="U532" si="1242">T532*-15</f>
        <v>0</v>
      </c>
      <c r="V532" s="16">
        <f t="shared" ref="V532" si="1243">IF(AND(R532=2),10,IF(R532=3,30,IF(R532=4,50,IF(R532=5,70,0))))</f>
        <v>0</v>
      </c>
      <c r="W532" s="17">
        <f t="shared" ref="W532" si="1244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10</v>
      </c>
      <c r="D533" s="21" t="str">
        <f>Spieltag!B521</f>
        <v>Tim Kleindienst</v>
      </c>
      <c r="E533" s="12" t="str">
        <f>Spieltag!C521</f>
        <v>Sturm</v>
      </c>
      <c r="F533" s="13" t="s">
        <v>355</v>
      </c>
      <c r="G533" s="14"/>
      <c r="H533" s="15">
        <f t="shared" ref="H533" si="1245">IF(G533="x",10,0)</f>
        <v>0</v>
      </c>
      <c r="I533" s="14"/>
      <c r="J533" s="15">
        <f t="shared" ref="J533" si="1246">IF((I533="x"),-10,0)</f>
        <v>0</v>
      </c>
      <c r="K533" s="14"/>
      <c r="L533" s="15">
        <f t="shared" ref="L533" si="1247">IF((K533="x"),-20,0)</f>
        <v>0</v>
      </c>
      <c r="M533" s="14"/>
      <c r="N533" s="15">
        <f t="shared" ref="N533" si="1248">IF((M533="x"),-30,0)</f>
        <v>0</v>
      </c>
      <c r="O533" s="16">
        <f t="shared" ref="O533:O537" si="1249">IF(AND($V$6&gt;$W$6),20,IF($V$6=$W$6,10,0))</f>
        <v>0</v>
      </c>
      <c r="P533" s="16">
        <f t="shared" ref="P533:P537" si="1250">IF(($V$6&lt;&gt;0),$V$6*10,-5)</f>
        <v>-5</v>
      </c>
      <c r="Q533" s="16">
        <f t="shared" ref="Q533:Q537" si="1251">IF(($W$6&lt;&gt;0),$W$6*-10,5)</f>
        <v>-20</v>
      </c>
      <c r="R533" s="14"/>
      <c r="S533" s="15">
        <f t="shared" ref="S533" si="1252">R533*10</f>
        <v>0</v>
      </c>
      <c r="T533" s="14"/>
      <c r="U533" s="15">
        <f t="shared" ref="U533" si="1253">T533*-15</f>
        <v>0</v>
      </c>
      <c r="V533" s="16">
        <f t="shared" ref="V533" si="1254">IF(AND(R533=2),10,IF(R533=3,30,IF(R533=4,50,IF(R533=5,70,0))))</f>
        <v>0</v>
      </c>
      <c r="W533" s="17">
        <f t="shared" ref="W533" si="1255">IF(G533="x",H533+J533+L533+N533+O533+P533+Q533+S533+U533+V533,0)</f>
        <v>0</v>
      </c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18</v>
      </c>
      <c r="D534" s="21" t="str">
        <f>Spieltag!B522</f>
        <v>Marvin Pieringer</v>
      </c>
      <c r="E534" s="12" t="str">
        <f>Spieltag!C522</f>
        <v>Sturm</v>
      </c>
      <c r="F534" s="13" t="s">
        <v>355</v>
      </c>
      <c r="G534" s="14"/>
      <c r="H534" s="15">
        <f t="shared" ref="H534:H537" si="1256">IF(G534="x",10,0)</f>
        <v>0</v>
      </c>
      <c r="I534" s="14"/>
      <c r="J534" s="15">
        <f t="shared" ref="J534:J537" si="1257">IF((I534="x"),-10,0)</f>
        <v>0</v>
      </c>
      <c r="K534" s="14"/>
      <c r="L534" s="15">
        <f t="shared" ref="L534:L537" si="1258">IF((K534="x"),-20,0)</f>
        <v>0</v>
      </c>
      <c r="M534" s="14"/>
      <c r="N534" s="15">
        <f t="shared" ref="N534:N537" si="1259">IF((M534="x"),-30,0)</f>
        <v>0</v>
      </c>
      <c r="O534" s="16">
        <f t="shared" si="1249"/>
        <v>0</v>
      </c>
      <c r="P534" s="16">
        <f t="shared" si="1250"/>
        <v>-5</v>
      </c>
      <c r="Q534" s="16">
        <f t="shared" si="1251"/>
        <v>-20</v>
      </c>
      <c r="R534" s="14"/>
      <c r="S534" s="15">
        <f t="shared" ref="S534:S537" si="1260">R534*10</f>
        <v>0</v>
      </c>
      <c r="T534" s="14"/>
      <c r="U534" s="15">
        <f t="shared" ref="U534:U537" si="1261">T534*-15</f>
        <v>0</v>
      </c>
      <c r="V534" s="16">
        <f t="shared" ref="V534:V537" si="1262">IF(AND(R534=2),10,IF(R534=3,30,IF(R534=4,50,IF(R534=5,70,0))))</f>
        <v>0</v>
      </c>
      <c r="W534" s="17">
        <f t="shared" ref="W534:W537" si="1263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20</v>
      </c>
      <c r="D535" s="21" t="str">
        <f>Spieltag!B523</f>
        <v>Nikola Dovedan (A)</v>
      </c>
      <c r="E535" s="12" t="str">
        <f>Spieltag!C523</f>
        <v>Sturm</v>
      </c>
      <c r="F535" s="13" t="s">
        <v>355</v>
      </c>
      <c r="G535" s="14"/>
      <c r="H535" s="15">
        <f t="shared" si="1256"/>
        <v>0</v>
      </c>
      <c r="I535" s="14"/>
      <c r="J535" s="15">
        <f t="shared" si="1257"/>
        <v>0</v>
      </c>
      <c r="K535" s="14"/>
      <c r="L535" s="15">
        <f t="shared" si="1258"/>
        <v>0</v>
      </c>
      <c r="M535" s="14"/>
      <c r="N535" s="15">
        <f t="shared" si="1259"/>
        <v>0</v>
      </c>
      <c r="O535" s="16">
        <f t="shared" si="1249"/>
        <v>0</v>
      </c>
      <c r="P535" s="16">
        <f t="shared" si="1250"/>
        <v>-5</v>
      </c>
      <c r="Q535" s="16">
        <f t="shared" si="1251"/>
        <v>-20</v>
      </c>
      <c r="R535" s="14"/>
      <c r="S535" s="15">
        <f t="shared" si="1260"/>
        <v>0</v>
      </c>
      <c r="T535" s="14"/>
      <c r="U535" s="15">
        <f t="shared" si="1261"/>
        <v>0</v>
      </c>
      <c r="V535" s="16">
        <f t="shared" si="1262"/>
        <v>0</v>
      </c>
      <c r="W535" s="17">
        <f t="shared" si="1263"/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24</v>
      </c>
      <c r="D536" s="21" t="str">
        <f>Spieltag!B524</f>
        <v>Christian Kühlwetter</v>
      </c>
      <c r="E536" s="12" t="str">
        <f>Spieltag!C524</f>
        <v>Sturm</v>
      </c>
      <c r="F536" s="13" t="s">
        <v>355</v>
      </c>
      <c r="G536" s="14"/>
      <c r="H536" s="15">
        <f t="shared" ref="H536" si="1264">IF(G536="x",10,0)</f>
        <v>0</v>
      </c>
      <c r="I536" s="14"/>
      <c r="J536" s="15">
        <f t="shared" ref="J536" si="1265">IF((I536="x"),-10,0)</f>
        <v>0</v>
      </c>
      <c r="K536" s="14"/>
      <c r="L536" s="15">
        <f t="shared" ref="L536" si="1266">IF((K536="x"),-20,0)</f>
        <v>0</v>
      </c>
      <c r="M536" s="14"/>
      <c r="N536" s="15">
        <f t="shared" ref="N536" si="1267">IF((M536="x"),-30,0)</f>
        <v>0</v>
      </c>
      <c r="O536" s="16">
        <f t="shared" si="1249"/>
        <v>0</v>
      </c>
      <c r="P536" s="16">
        <f t="shared" si="1250"/>
        <v>-5</v>
      </c>
      <c r="Q536" s="16">
        <f t="shared" si="1251"/>
        <v>-20</v>
      </c>
      <c r="R536" s="14"/>
      <c r="S536" s="15">
        <f t="shared" ref="S536" si="1268">R536*10</f>
        <v>0</v>
      </c>
      <c r="T536" s="14"/>
      <c r="U536" s="15">
        <f t="shared" ref="U536" si="1269">T536*-15</f>
        <v>0</v>
      </c>
      <c r="V536" s="16">
        <f t="shared" ref="V536" si="1270">IF(AND(R536=2),10,IF(R536=3,30,IF(R536=4,50,IF(R536=5,70,0))))</f>
        <v>0</v>
      </c>
      <c r="W536" s="17">
        <f t="shared" ref="W536" si="1271">IF(G536="x",H536+J536+L536+N536+O536+P536+Q536+S536+U536+V536,0)</f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44</v>
      </c>
      <c r="D537" s="21" t="str">
        <f>Spieltag!B525</f>
        <v>Elidon Qenaj</v>
      </c>
      <c r="E537" s="12" t="str">
        <f>Spieltag!C525</f>
        <v>Sturm</v>
      </c>
      <c r="F537" s="13" t="s">
        <v>355</v>
      </c>
      <c r="G537" s="14"/>
      <c r="H537" s="15">
        <f t="shared" si="1256"/>
        <v>0</v>
      </c>
      <c r="I537" s="14"/>
      <c r="J537" s="15">
        <f t="shared" si="1257"/>
        <v>0</v>
      </c>
      <c r="K537" s="14"/>
      <c r="L537" s="15">
        <f t="shared" si="1258"/>
        <v>0</v>
      </c>
      <c r="M537" s="14"/>
      <c r="N537" s="15">
        <f t="shared" si="1259"/>
        <v>0</v>
      </c>
      <c r="O537" s="16">
        <f t="shared" si="1249"/>
        <v>0</v>
      </c>
      <c r="P537" s="16">
        <f t="shared" si="1250"/>
        <v>-5</v>
      </c>
      <c r="Q537" s="16">
        <f t="shared" si="1251"/>
        <v>-20</v>
      </c>
      <c r="R537" s="14"/>
      <c r="S537" s="15">
        <f t="shared" si="1260"/>
        <v>0</v>
      </c>
      <c r="T537" s="14"/>
      <c r="U537" s="15">
        <f t="shared" si="1261"/>
        <v>0</v>
      </c>
      <c r="V537" s="16">
        <f t="shared" si="1262"/>
        <v>0</v>
      </c>
      <c r="W537" s="17">
        <f t="shared" si="1263"/>
        <v>0</v>
      </c>
    </row>
    <row r="538" spans="1:23" s="144" customFormat="1" ht="17.25" hidden="1" thickBot="1" x14ac:dyDescent="0.25">
      <c r="A538" s="142"/>
      <c r="B538" s="143">
        <f>SUM(B539:B566)</f>
        <v>0</v>
      </c>
      <c r="C538" s="158"/>
      <c r="D538" s="221" t="s">
        <v>476</v>
      </c>
      <c r="E538" s="221"/>
      <c r="F538" s="221"/>
      <c r="G538" s="221"/>
      <c r="H538" s="221"/>
      <c r="I538" s="221"/>
      <c r="J538" s="221"/>
      <c r="K538" s="221"/>
      <c r="L538" s="221"/>
      <c r="M538" s="221"/>
      <c r="N538" s="221"/>
      <c r="O538" s="221"/>
      <c r="P538" s="221"/>
      <c r="Q538" s="221"/>
      <c r="R538" s="221"/>
      <c r="S538" s="221"/>
      <c r="T538" s="221"/>
      <c r="U538" s="221"/>
      <c r="V538" s="221"/>
      <c r="W538" s="222"/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1</v>
      </c>
      <c r="D539" s="21" t="str">
        <f>Spieltag!B527</f>
        <v>Marcel Schuhen</v>
      </c>
      <c r="E539" s="12" t="str">
        <f>Spieltag!C527</f>
        <v>Torwart</v>
      </c>
      <c r="F539" s="13" t="s">
        <v>180</v>
      </c>
      <c r="G539" s="14"/>
      <c r="H539" s="15">
        <f t="shared" ref="H539" si="1272">IF(G539="x",10,0)</f>
        <v>0</v>
      </c>
      <c r="I539" s="14"/>
      <c r="J539" s="15">
        <f t="shared" ref="J539" si="1273">IF((I539="x"),-10,0)</f>
        <v>0</v>
      </c>
      <c r="K539" s="14"/>
      <c r="L539" s="15">
        <f t="shared" ref="L539" si="1274">IF((K539="x"),-20,0)</f>
        <v>0</v>
      </c>
      <c r="M539" s="14"/>
      <c r="N539" s="15">
        <f t="shared" ref="N539" si="1275">IF((M539="x"),-30,0)</f>
        <v>0</v>
      </c>
      <c r="O539" s="16">
        <f t="shared" ref="O539:O561" si="1276">IF(AND($P$7&gt;$Q$7),20,IF($P$7=$Q$7,10,0))</f>
        <v>0</v>
      </c>
      <c r="P539" s="16">
        <f t="shared" ref="P539:P561" si="1277">IF(($P$7&lt;&gt;0),$P$7*10,-5)</f>
        <v>-5</v>
      </c>
      <c r="Q539" s="16">
        <f t="shared" ref="Q539:Q542" si="1278">IF(($Q$7&lt;&gt;0),$Q$7*-10,20)</f>
        <v>-10</v>
      </c>
      <c r="R539" s="14"/>
      <c r="S539" s="15">
        <f t="shared" ref="S539" si="1279">R539*20</f>
        <v>0</v>
      </c>
      <c r="T539" s="14"/>
      <c r="U539" s="15">
        <f t="shared" ref="U539" si="1280">T539*-15</f>
        <v>0</v>
      </c>
      <c r="V539" s="16">
        <f t="shared" ref="V539" si="1281">IF(AND(R539=2),10,IF(R539=3,30,IF(R539=4,50,IF(R539=5,70,0))))</f>
        <v>0</v>
      </c>
      <c r="W539" s="17">
        <f t="shared" ref="W539" si="1282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13</v>
      </c>
      <c r="D540" s="21" t="str">
        <f>Spieltag!B528</f>
        <v>Morten Behrens</v>
      </c>
      <c r="E540" s="12" t="str">
        <f>Spieltag!C528</f>
        <v>Torwart</v>
      </c>
      <c r="F540" s="13" t="s">
        <v>180</v>
      </c>
      <c r="G540" s="14"/>
      <c r="H540" s="15">
        <f t="shared" ref="H540:H541" si="1283">IF(G540="x",10,0)</f>
        <v>0</v>
      </c>
      <c r="I540" s="14"/>
      <c r="J540" s="15">
        <f t="shared" ref="J540:J541" si="1284">IF((I540="x"),-10,0)</f>
        <v>0</v>
      </c>
      <c r="K540" s="14"/>
      <c r="L540" s="15">
        <f t="shared" ref="L540:L541" si="1285">IF((K540="x"),-20,0)</f>
        <v>0</v>
      </c>
      <c r="M540" s="14"/>
      <c r="N540" s="15">
        <f t="shared" ref="N540:N541" si="1286">IF((M540="x"),-30,0)</f>
        <v>0</v>
      </c>
      <c r="O540" s="16">
        <f t="shared" si="1276"/>
        <v>0</v>
      </c>
      <c r="P540" s="16">
        <f t="shared" si="1277"/>
        <v>-5</v>
      </c>
      <c r="Q540" s="16">
        <f t="shared" si="1278"/>
        <v>-10</v>
      </c>
      <c r="R540" s="14"/>
      <c r="S540" s="15">
        <f t="shared" ref="S540:S541" si="1287">R540*20</f>
        <v>0</v>
      </c>
      <c r="T540" s="14"/>
      <c r="U540" s="15">
        <f t="shared" ref="U540:U541" si="1288">T540*-15</f>
        <v>0</v>
      </c>
      <c r="V540" s="16">
        <f t="shared" ref="V540:V541" si="1289">IF(AND(R540=2),10,IF(R540=3,30,IF(R540=4,50,IF(R540=5,70,0))))</f>
        <v>0</v>
      </c>
      <c r="W540" s="17">
        <f t="shared" ref="W540:W541" si="1290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30</v>
      </c>
      <c r="D541" s="21" t="str">
        <f>Spieltag!B529</f>
        <v>Alexander Brunst</v>
      </c>
      <c r="E541" s="12" t="str">
        <f>Spieltag!C529</f>
        <v>Torwart</v>
      </c>
      <c r="F541" s="13" t="s">
        <v>180</v>
      </c>
      <c r="G541" s="14"/>
      <c r="H541" s="15">
        <f t="shared" si="1283"/>
        <v>0</v>
      </c>
      <c r="I541" s="14"/>
      <c r="J541" s="15">
        <f t="shared" si="1284"/>
        <v>0</v>
      </c>
      <c r="K541" s="14"/>
      <c r="L541" s="15">
        <f t="shared" si="1285"/>
        <v>0</v>
      </c>
      <c r="M541" s="14"/>
      <c r="N541" s="15">
        <f t="shared" si="1286"/>
        <v>0</v>
      </c>
      <c r="O541" s="16">
        <f t="shared" si="1276"/>
        <v>0</v>
      </c>
      <c r="P541" s="16">
        <f t="shared" si="1277"/>
        <v>-5</v>
      </c>
      <c r="Q541" s="16">
        <f t="shared" si="1278"/>
        <v>-10</v>
      </c>
      <c r="R541" s="14"/>
      <c r="S541" s="15">
        <f t="shared" si="1287"/>
        <v>0</v>
      </c>
      <c r="T541" s="14"/>
      <c r="U541" s="15">
        <f t="shared" si="1288"/>
        <v>0</v>
      </c>
      <c r="V541" s="16">
        <f t="shared" si="1289"/>
        <v>0</v>
      </c>
      <c r="W541" s="17">
        <f t="shared" si="1290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45</v>
      </c>
      <c r="D542" s="21" t="str">
        <f>Spieltag!B530</f>
        <v>Max Wendt</v>
      </c>
      <c r="E542" s="12" t="str">
        <f>Spieltag!C530</f>
        <v>Torwart</v>
      </c>
      <c r="F542" s="13" t="s">
        <v>180</v>
      </c>
      <c r="G542" s="14"/>
      <c r="H542" s="15">
        <f t="shared" ref="H542" si="1291">IF(G542="x",10,0)</f>
        <v>0</v>
      </c>
      <c r="I542" s="14"/>
      <c r="J542" s="15">
        <f t="shared" ref="J542" si="1292">IF((I542="x"),-10,0)</f>
        <v>0</v>
      </c>
      <c r="K542" s="14"/>
      <c r="L542" s="15">
        <f t="shared" ref="L542" si="1293">IF((K542="x"),-20,0)</f>
        <v>0</v>
      </c>
      <c r="M542" s="14"/>
      <c r="N542" s="15">
        <f t="shared" ref="N542" si="1294">IF((M542="x"),-30,0)</f>
        <v>0</v>
      </c>
      <c r="O542" s="16">
        <f t="shared" si="1276"/>
        <v>0</v>
      </c>
      <c r="P542" s="16">
        <f t="shared" si="1277"/>
        <v>-5</v>
      </c>
      <c r="Q542" s="16">
        <f t="shared" si="1278"/>
        <v>-10</v>
      </c>
      <c r="R542" s="14"/>
      <c r="S542" s="15">
        <f t="shared" ref="S542" si="1295">R542*20</f>
        <v>0</v>
      </c>
      <c r="T542" s="14"/>
      <c r="U542" s="15">
        <f t="shared" ref="U542" si="1296">T542*-15</f>
        <v>0</v>
      </c>
      <c r="V542" s="16">
        <f t="shared" ref="V542" si="1297">IF(AND(R542=2),10,IF(R542=3,30,IF(R542=4,50,IF(R542=5,70,0))))</f>
        <v>0</v>
      </c>
      <c r="W542" s="17">
        <f t="shared" ref="W542" si="1298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3</v>
      </c>
      <c r="D543" s="21" t="str">
        <f>Spieltag!B531</f>
        <v>Thomas Isherwood (A)</v>
      </c>
      <c r="E543" s="12" t="str">
        <f>Spieltag!C531</f>
        <v>Abwehr</v>
      </c>
      <c r="F543" s="13" t="s">
        <v>180</v>
      </c>
      <c r="G543" s="14"/>
      <c r="H543" s="15">
        <f t="shared" ref="H543" si="1299">IF(G543="x",10,0)</f>
        <v>0</v>
      </c>
      <c r="I543" s="14"/>
      <c r="J543" s="15">
        <f t="shared" ref="J543" si="1300">IF((I543="x"),-10,0)</f>
        <v>0</v>
      </c>
      <c r="K543" s="14"/>
      <c r="L543" s="15">
        <f t="shared" ref="L543" si="1301">IF((K543="x"),-20,0)</f>
        <v>0</v>
      </c>
      <c r="M543" s="14"/>
      <c r="N543" s="15">
        <f t="shared" ref="N543" si="1302">IF((M543="x"),-30,0)</f>
        <v>0</v>
      </c>
      <c r="O543" s="16">
        <f t="shared" si="1276"/>
        <v>0</v>
      </c>
      <c r="P543" s="16">
        <f t="shared" si="1277"/>
        <v>-5</v>
      </c>
      <c r="Q543" s="16">
        <f t="shared" ref="Q543:Q553" si="1303">IF(($Q$7&lt;&gt;0),$Q$7*-10,15)</f>
        <v>-10</v>
      </c>
      <c r="R543" s="14"/>
      <c r="S543" s="15">
        <f t="shared" ref="S543" si="1304">R543*15</f>
        <v>0</v>
      </c>
      <c r="T543" s="14"/>
      <c r="U543" s="15">
        <f t="shared" ref="U543" si="1305">T543*-15</f>
        <v>0</v>
      </c>
      <c r="V543" s="16">
        <f t="shared" ref="V543" si="1306">IF(AND(R543=2),10,IF(R543=3,30,IF(R543=4,50,IF(R543=5,70,0))))</f>
        <v>0</v>
      </c>
      <c r="W543" s="17">
        <f t="shared" ref="W543" si="1307">IF(G543="x",H543+J543+L543+N543+O543+P543+Q543+S543+U543+V543,0)</f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4</v>
      </c>
      <c r="D544" s="21" t="str">
        <f>Spieltag!B532</f>
        <v>Christoph Zimmermann</v>
      </c>
      <c r="E544" s="12" t="str">
        <f>Spieltag!C532</f>
        <v>Abwehr</v>
      </c>
      <c r="F544" s="13" t="s">
        <v>180</v>
      </c>
      <c r="G544" s="14"/>
      <c r="H544" s="15">
        <f t="shared" ref="H544:H553" si="1308">IF(G544="x",10,0)</f>
        <v>0</v>
      </c>
      <c r="I544" s="14"/>
      <c r="J544" s="15">
        <f t="shared" ref="J544:J553" si="1309">IF((I544="x"),-10,0)</f>
        <v>0</v>
      </c>
      <c r="K544" s="14"/>
      <c r="L544" s="15">
        <f t="shared" ref="L544:L553" si="1310">IF((K544="x"),-20,0)</f>
        <v>0</v>
      </c>
      <c r="M544" s="14"/>
      <c r="N544" s="15">
        <f t="shared" ref="N544:N553" si="1311">IF((M544="x"),-30,0)</f>
        <v>0</v>
      </c>
      <c r="O544" s="16">
        <f t="shared" si="1276"/>
        <v>0</v>
      </c>
      <c r="P544" s="16">
        <f t="shared" si="1277"/>
        <v>-5</v>
      </c>
      <c r="Q544" s="16">
        <f t="shared" si="1303"/>
        <v>-10</v>
      </c>
      <c r="R544" s="14"/>
      <c r="S544" s="15">
        <f t="shared" ref="S544:S553" si="1312">R544*15</f>
        <v>0</v>
      </c>
      <c r="T544" s="14"/>
      <c r="U544" s="15">
        <f t="shared" ref="U544:U553" si="1313">T544*-15</f>
        <v>0</v>
      </c>
      <c r="V544" s="16">
        <f t="shared" ref="V544:V553" si="1314">IF(AND(R544=2),10,IF(R544=3,30,IF(R544=4,50,IF(R544=5,70,0))))</f>
        <v>0</v>
      </c>
      <c r="W544" s="17">
        <f t="shared" ref="W544:W553" si="1315">IF(G544="x",H544+J544+L544+N544+O544+P544+Q544+S544+U544+V544,0)</f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5</v>
      </c>
      <c r="D545" s="21" t="str">
        <f>Spieltag!B533</f>
        <v>Matej Maglica (A)</v>
      </c>
      <c r="E545" s="12" t="str">
        <f>Spieltag!C533</f>
        <v>Abwehr</v>
      </c>
      <c r="F545" s="13" t="s">
        <v>180</v>
      </c>
      <c r="G545" s="14"/>
      <c r="H545" s="15">
        <f t="shared" si="1308"/>
        <v>0</v>
      </c>
      <c r="I545" s="14"/>
      <c r="J545" s="15">
        <f t="shared" si="1309"/>
        <v>0</v>
      </c>
      <c r="K545" s="14"/>
      <c r="L545" s="15">
        <f t="shared" si="1310"/>
        <v>0</v>
      </c>
      <c r="M545" s="14"/>
      <c r="N545" s="15">
        <f t="shared" si="1311"/>
        <v>0</v>
      </c>
      <c r="O545" s="16">
        <f t="shared" si="1276"/>
        <v>0</v>
      </c>
      <c r="P545" s="16">
        <f t="shared" si="1277"/>
        <v>-5</v>
      </c>
      <c r="Q545" s="16">
        <f t="shared" si="1303"/>
        <v>-10</v>
      </c>
      <c r="R545" s="14"/>
      <c r="S545" s="15">
        <f t="shared" si="1312"/>
        <v>0</v>
      </c>
      <c r="T545" s="14"/>
      <c r="U545" s="15">
        <f t="shared" si="1313"/>
        <v>0</v>
      </c>
      <c r="V545" s="16">
        <f t="shared" si="1314"/>
        <v>0</v>
      </c>
      <c r="W545" s="17">
        <f t="shared" si="1315"/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14</v>
      </c>
      <c r="D546" s="21" t="str">
        <f>Spieltag!B534</f>
        <v>Christoph Klarer (A)</v>
      </c>
      <c r="E546" s="12" t="str">
        <f>Spieltag!C534</f>
        <v>Abwehr</v>
      </c>
      <c r="F546" s="13" t="s">
        <v>180</v>
      </c>
      <c r="G546" s="14"/>
      <c r="H546" s="15">
        <f t="shared" si="1308"/>
        <v>0</v>
      </c>
      <c r="I546" s="14"/>
      <c r="J546" s="15">
        <f t="shared" si="1309"/>
        <v>0</v>
      </c>
      <c r="K546" s="14"/>
      <c r="L546" s="15">
        <f t="shared" si="1310"/>
        <v>0</v>
      </c>
      <c r="M546" s="14"/>
      <c r="N546" s="15">
        <f t="shared" si="1311"/>
        <v>0</v>
      </c>
      <c r="O546" s="16">
        <f t="shared" si="1276"/>
        <v>0</v>
      </c>
      <c r="P546" s="16">
        <f t="shared" si="1277"/>
        <v>-5</v>
      </c>
      <c r="Q546" s="16">
        <f t="shared" si="1303"/>
        <v>-10</v>
      </c>
      <c r="R546" s="14"/>
      <c r="S546" s="15">
        <f t="shared" si="1312"/>
        <v>0</v>
      </c>
      <c r="T546" s="14"/>
      <c r="U546" s="15">
        <f t="shared" si="1313"/>
        <v>0</v>
      </c>
      <c r="V546" s="16">
        <f t="shared" si="1314"/>
        <v>0</v>
      </c>
      <c r="W546" s="17">
        <f t="shared" si="1315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17</v>
      </c>
      <c r="D547" s="21" t="str">
        <f>Spieltag!B535</f>
        <v>Frank Ronstadt</v>
      </c>
      <c r="E547" s="12" t="str">
        <f>Spieltag!C535</f>
        <v>Abwehr</v>
      </c>
      <c r="F547" s="13" t="s">
        <v>180</v>
      </c>
      <c r="G547" s="14"/>
      <c r="H547" s="15">
        <f t="shared" si="1308"/>
        <v>0</v>
      </c>
      <c r="I547" s="14"/>
      <c r="J547" s="15">
        <f t="shared" si="1309"/>
        <v>0</v>
      </c>
      <c r="K547" s="14"/>
      <c r="L547" s="15">
        <f t="shared" si="1310"/>
        <v>0</v>
      </c>
      <c r="M547" s="14"/>
      <c r="N547" s="15">
        <f t="shared" si="1311"/>
        <v>0</v>
      </c>
      <c r="O547" s="16">
        <f t="shared" si="1276"/>
        <v>0</v>
      </c>
      <c r="P547" s="16">
        <f t="shared" si="1277"/>
        <v>-5</v>
      </c>
      <c r="Q547" s="16">
        <f t="shared" si="1303"/>
        <v>-10</v>
      </c>
      <c r="R547" s="14"/>
      <c r="S547" s="15">
        <f t="shared" si="1312"/>
        <v>0</v>
      </c>
      <c r="T547" s="14"/>
      <c r="U547" s="15">
        <f t="shared" si="1313"/>
        <v>0</v>
      </c>
      <c r="V547" s="16">
        <f t="shared" si="1314"/>
        <v>0</v>
      </c>
      <c r="W547" s="17">
        <f t="shared" si="1315"/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19</v>
      </c>
      <c r="D548" s="21" t="str">
        <f>Spieltag!B536</f>
        <v>Emir Karic (A)</v>
      </c>
      <c r="E548" s="12" t="str">
        <f>Spieltag!C536</f>
        <v>Abwehr</v>
      </c>
      <c r="F548" s="13" t="s">
        <v>180</v>
      </c>
      <c r="G548" s="14"/>
      <c r="H548" s="15">
        <f t="shared" si="1308"/>
        <v>0</v>
      </c>
      <c r="I548" s="14"/>
      <c r="J548" s="15">
        <f t="shared" si="1309"/>
        <v>0</v>
      </c>
      <c r="K548" s="14"/>
      <c r="L548" s="15">
        <f t="shared" si="1310"/>
        <v>0</v>
      </c>
      <c r="M548" s="14"/>
      <c r="N548" s="15">
        <f t="shared" si="1311"/>
        <v>0</v>
      </c>
      <c r="O548" s="16">
        <f t="shared" si="1276"/>
        <v>0</v>
      </c>
      <c r="P548" s="16">
        <f t="shared" si="1277"/>
        <v>-5</v>
      </c>
      <c r="Q548" s="16">
        <f t="shared" si="1303"/>
        <v>-10</v>
      </c>
      <c r="R548" s="14"/>
      <c r="S548" s="15">
        <f t="shared" si="1312"/>
        <v>0</v>
      </c>
      <c r="T548" s="14"/>
      <c r="U548" s="15">
        <f t="shared" si="1313"/>
        <v>0</v>
      </c>
      <c r="V548" s="16">
        <f t="shared" si="1314"/>
        <v>0</v>
      </c>
      <c r="W548" s="17">
        <f t="shared" si="1315"/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20</v>
      </c>
      <c r="D549" s="21" t="str">
        <f>Spieltag!B537</f>
        <v>Jannik Müller</v>
      </c>
      <c r="E549" s="12" t="str">
        <f>Spieltag!C537</f>
        <v>Abwehr</v>
      </c>
      <c r="F549" s="13" t="s">
        <v>180</v>
      </c>
      <c r="G549" s="14"/>
      <c r="H549" s="15">
        <f t="shared" si="1308"/>
        <v>0</v>
      </c>
      <c r="I549" s="14"/>
      <c r="J549" s="15">
        <f t="shared" si="1309"/>
        <v>0</v>
      </c>
      <c r="K549" s="14"/>
      <c r="L549" s="15">
        <f t="shared" si="1310"/>
        <v>0</v>
      </c>
      <c r="M549" s="14"/>
      <c r="N549" s="15">
        <f t="shared" si="1311"/>
        <v>0</v>
      </c>
      <c r="O549" s="16">
        <f t="shared" si="1276"/>
        <v>0</v>
      </c>
      <c r="P549" s="16">
        <f t="shared" si="1277"/>
        <v>-5</v>
      </c>
      <c r="Q549" s="16">
        <f t="shared" si="1303"/>
        <v>-10</v>
      </c>
      <c r="R549" s="14"/>
      <c r="S549" s="15">
        <f t="shared" si="1312"/>
        <v>0</v>
      </c>
      <c r="T549" s="14"/>
      <c r="U549" s="15">
        <f t="shared" si="1313"/>
        <v>0</v>
      </c>
      <c r="V549" s="16">
        <f t="shared" si="1314"/>
        <v>0</v>
      </c>
      <c r="W549" s="17">
        <f t="shared" si="1315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26</v>
      </c>
      <c r="D550" s="21" t="str">
        <f>Spieltag!B538</f>
        <v>Matthias Bader</v>
      </c>
      <c r="E550" s="12" t="str">
        <f>Spieltag!C538</f>
        <v>Abwehr</v>
      </c>
      <c r="F550" s="13" t="s">
        <v>180</v>
      </c>
      <c r="G550" s="14"/>
      <c r="H550" s="15">
        <f t="shared" si="1308"/>
        <v>0</v>
      </c>
      <c r="I550" s="14"/>
      <c r="J550" s="15">
        <f t="shared" si="1309"/>
        <v>0</v>
      </c>
      <c r="K550" s="14"/>
      <c r="L550" s="15">
        <f t="shared" si="1310"/>
        <v>0</v>
      </c>
      <c r="M550" s="14"/>
      <c r="N550" s="15">
        <f t="shared" si="1311"/>
        <v>0</v>
      </c>
      <c r="O550" s="16">
        <f t="shared" si="1276"/>
        <v>0</v>
      </c>
      <c r="P550" s="16">
        <f t="shared" si="1277"/>
        <v>-5</v>
      </c>
      <c r="Q550" s="16">
        <f t="shared" si="1303"/>
        <v>-10</v>
      </c>
      <c r="R550" s="14"/>
      <c r="S550" s="15">
        <f t="shared" si="1312"/>
        <v>0</v>
      </c>
      <c r="T550" s="14"/>
      <c r="U550" s="15">
        <f t="shared" si="1313"/>
        <v>0</v>
      </c>
      <c r="V550" s="16">
        <f t="shared" si="1314"/>
        <v>0</v>
      </c>
      <c r="W550" s="17">
        <f t="shared" si="1315"/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32</v>
      </c>
      <c r="D551" s="21" t="str">
        <f>Spieltag!B539</f>
        <v>Fabian Holland</v>
      </c>
      <c r="E551" s="12" t="str">
        <f>Spieltag!C539</f>
        <v>Abwehr</v>
      </c>
      <c r="F551" s="13" t="s">
        <v>180</v>
      </c>
      <c r="G551" s="14"/>
      <c r="H551" s="15">
        <f t="shared" si="1308"/>
        <v>0</v>
      </c>
      <c r="I551" s="14"/>
      <c r="J551" s="15">
        <f t="shared" si="1309"/>
        <v>0</v>
      </c>
      <c r="K551" s="14"/>
      <c r="L551" s="15">
        <f t="shared" si="1310"/>
        <v>0</v>
      </c>
      <c r="M551" s="14"/>
      <c r="N551" s="15">
        <f t="shared" si="1311"/>
        <v>0</v>
      </c>
      <c r="O551" s="16">
        <f t="shared" si="1276"/>
        <v>0</v>
      </c>
      <c r="P551" s="16">
        <f t="shared" si="1277"/>
        <v>-5</v>
      </c>
      <c r="Q551" s="16">
        <f t="shared" si="1303"/>
        <v>-10</v>
      </c>
      <c r="R551" s="14"/>
      <c r="S551" s="15">
        <f t="shared" si="1312"/>
        <v>0</v>
      </c>
      <c r="T551" s="14"/>
      <c r="U551" s="15">
        <f t="shared" si="1313"/>
        <v>0</v>
      </c>
      <c r="V551" s="16">
        <f t="shared" si="1314"/>
        <v>0</v>
      </c>
      <c r="W551" s="17">
        <f t="shared" si="1315"/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38</v>
      </c>
      <c r="D552" s="21" t="str">
        <f>Spieltag!B540</f>
        <v>Clemens Riedel</v>
      </c>
      <c r="E552" s="12" t="str">
        <f>Spieltag!C540</f>
        <v>Abwehr</v>
      </c>
      <c r="F552" s="13" t="s">
        <v>180</v>
      </c>
      <c r="G552" s="14"/>
      <c r="H552" s="15">
        <f t="shared" si="1308"/>
        <v>0</v>
      </c>
      <c r="I552" s="14"/>
      <c r="J552" s="15">
        <f t="shared" si="1309"/>
        <v>0</v>
      </c>
      <c r="K552" s="14"/>
      <c r="L552" s="15">
        <f t="shared" si="1310"/>
        <v>0</v>
      </c>
      <c r="M552" s="14"/>
      <c r="N552" s="15">
        <f t="shared" si="1311"/>
        <v>0</v>
      </c>
      <c r="O552" s="16">
        <f t="shared" si="1276"/>
        <v>0</v>
      </c>
      <c r="P552" s="16">
        <f t="shared" si="1277"/>
        <v>-5</v>
      </c>
      <c r="Q552" s="16">
        <f t="shared" si="1303"/>
        <v>-10</v>
      </c>
      <c r="R552" s="14"/>
      <c r="S552" s="15">
        <f t="shared" si="1312"/>
        <v>0</v>
      </c>
      <c r="T552" s="14"/>
      <c r="U552" s="15">
        <f t="shared" si="1313"/>
        <v>0</v>
      </c>
      <c r="V552" s="16">
        <f t="shared" si="1314"/>
        <v>0</v>
      </c>
      <c r="W552" s="17">
        <f t="shared" si="1315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43</v>
      </c>
      <c r="D553" s="21" t="str">
        <f>Spieltag!B541</f>
        <v>Nemanja Celic (A)</v>
      </c>
      <c r="E553" s="12" t="str">
        <f>Spieltag!C541</f>
        <v>Abwehr</v>
      </c>
      <c r="F553" s="13" t="s">
        <v>180</v>
      </c>
      <c r="G553" s="14"/>
      <c r="H553" s="15">
        <f t="shared" si="1308"/>
        <v>0</v>
      </c>
      <c r="I553" s="14"/>
      <c r="J553" s="15">
        <f t="shared" si="1309"/>
        <v>0</v>
      </c>
      <c r="K553" s="14"/>
      <c r="L553" s="15">
        <f t="shared" si="1310"/>
        <v>0</v>
      </c>
      <c r="M553" s="14"/>
      <c r="N553" s="15">
        <f t="shared" si="1311"/>
        <v>0</v>
      </c>
      <c r="O553" s="16">
        <f t="shared" si="1276"/>
        <v>0</v>
      </c>
      <c r="P553" s="16">
        <f t="shared" si="1277"/>
        <v>-5</v>
      </c>
      <c r="Q553" s="16">
        <f t="shared" si="1303"/>
        <v>-10</v>
      </c>
      <c r="R553" s="14"/>
      <c r="S553" s="15">
        <f t="shared" si="1312"/>
        <v>0</v>
      </c>
      <c r="T553" s="14"/>
      <c r="U553" s="15">
        <f t="shared" si="1313"/>
        <v>0</v>
      </c>
      <c r="V553" s="16">
        <f t="shared" si="1314"/>
        <v>0</v>
      </c>
      <c r="W553" s="17">
        <f t="shared" si="1315"/>
        <v>0</v>
      </c>
    </row>
    <row r="554" spans="1:23" ht="10.5" hidden="1" customHeight="1" x14ac:dyDescent="0.2">
      <c r="A554" s="11"/>
      <c r="B554" s="149">
        <f>COUNTA(Spieltag!K542:AA542)</f>
        <v>0</v>
      </c>
      <c r="C554" s="166">
        <f>Spieltag!A542</f>
        <v>6</v>
      </c>
      <c r="D554" s="21" t="str">
        <f>Spieltag!B542</f>
        <v>Marvin Mehlem</v>
      </c>
      <c r="E554" s="12" t="str">
        <f>Spieltag!C542</f>
        <v>Mittelfeld</v>
      </c>
      <c r="F554" s="13" t="s">
        <v>180</v>
      </c>
      <c r="G554" s="14"/>
      <c r="H554" s="15">
        <f t="shared" ref="H554" si="1316">IF(G554="x",10,0)</f>
        <v>0</v>
      </c>
      <c r="I554" s="14"/>
      <c r="J554" s="15">
        <f t="shared" ref="J554" si="1317">IF((I554="x"),-10,0)</f>
        <v>0</v>
      </c>
      <c r="K554" s="14"/>
      <c r="L554" s="15">
        <f t="shared" ref="L554" si="1318">IF((K554="x"),-20,0)</f>
        <v>0</v>
      </c>
      <c r="M554" s="14"/>
      <c r="N554" s="15">
        <f t="shared" ref="N554" si="1319">IF((M554="x"),-30,0)</f>
        <v>0</v>
      </c>
      <c r="O554" s="16">
        <f t="shared" si="1276"/>
        <v>0</v>
      </c>
      <c r="P554" s="16">
        <f t="shared" si="1277"/>
        <v>-5</v>
      </c>
      <c r="Q554" s="16">
        <f t="shared" ref="Q554:Q561" si="1320">IF(($Q$7&lt;&gt;0),$Q$7*-10,10)</f>
        <v>-10</v>
      </c>
      <c r="R554" s="14"/>
      <c r="S554" s="15">
        <f t="shared" ref="S554" si="1321">R554*10</f>
        <v>0</v>
      </c>
      <c r="T554" s="14"/>
      <c r="U554" s="15">
        <f t="shared" ref="U554" si="1322">T554*-15</f>
        <v>0</v>
      </c>
      <c r="V554" s="16">
        <f t="shared" ref="V554" si="1323">IF(AND(R554=2),10,IF(R554=3,30,IF(R554=4,50,IF(R554=5,70,0))))</f>
        <v>0</v>
      </c>
      <c r="W554" s="17">
        <f t="shared" ref="W554" si="1324">IF(G554="x",H554+J554+L554+N554+O554+P554+Q554+S554+U554+V554,0)</f>
        <v>0</v>
      </c>
    </row>
    <row r="555" spans="1:23" ht="10.5" hidden="1" customHeight="1" x14ac:dyDescent="0.2">
      <c r="A555" s="11"/>
      <c r="B555" s="149">
        <f>COUNTA(Spieltag!K543:AA543)</f>
        <v>0</v>
      </c>
      <c r="C555" s="166">
        <f>Spieltag!A543</f>
        <v>7</v>
      </c>
      <c r="D555" s="21" t="str">
        <f>Spieltag!B543</f>
        <v>Braydon Manu (A)</v>
      </c>
      <c r="E555" s="12" t="str">
        <f>Spieltag!C543</f>
        <v>Mittelfeld</v>
      </c>
      <c r="F555" s="13" t="s">
        <v>180</v>
      </c>
      <c r="G555" s="14"/>
      <c r="H555" s="15">
        <f t="shared" ref="H555:H561" si="1325">IF(G555="x",10,0)</f>
        <v>0</v>
      </c>
      <c r="I555" s="14"/>
      <c r="J555" s="15">
        <f t="shared" ref="J555:J561" si="1326">IF((I555="x"),-10,0)</f>
        <v>0</v>
      </c>
      <c r="K555" s="14"/>
      <c r="L555" s="15">
        <f t="shared" ref="L555:L561" si="1327">IF((K555="x"),-20,0)</f>
        <v>0</v>
      </c>
      <c r="M555" s="14"/>
      <c r="N555" s="15">
        <f t="shared" ref="N555:N561" si="1328">IF((M555="x"),-30,0)</f>
        <v>0</v>
      </c>
      <c r="O555" s="16">
        <f t="shared" si="1276"/>
        <v>0</v>
      </c>
      <c r="P555" s="16">
        <f t="shared" si="1277"/>
        <v>-5</v>
      </c>
      <c r="Q555" s="16">
        <f t="shared" si="1320"/>
        <v>-10</v>
      </c>
      <c r="R555" s="14"/>
      <c r="S555" s="15">
        <f t="shared" ref="S555:S561" si="1329">R555*10</f>
        <v>0</v>
      </c>
      <c r="T555" s="14"/>
      <c r="U555" s="15">
        <f t="shared" ref="U555:U561" si="1330">T555*-15</f>
        <v>0</v>
      </c>
      <c r="V555" s="16">
        <f t="shared" ref="V555:V561" si="1331">IF(AND(R555=2),10,IF(R555=3,30,IF(R555=4,50,IF(R555=5,70,0))))</f>
        <v>0</v>
      </c>
      <c r="W555" s="17">
        <f t="shared" ref="W555:W561" si="1332">IF(G555="x",H555+J555+L555+N555+O555+P555+Q555+S555+U555+V555,0)</f>
        <v>0</v>
      </c>
    </row>
    <row r="556" spans="1:23" ht="10.5" hidden="1" customHeight="1" x14ac:dyDescent="0.2">
      <c r="A556" s="11"/>
      <c r="B556" s="149">
        <f>COUNTA(Spieltag!K544:AA544)</f>
        <v>0</v>
      </c>
      <c r="C556" s="166">
        <f>Spieltag!A544</f>
        <v>8</v>
      </c>
      <c r="D556" s="21" t="str">
        <f>Spieltag!B544</f>
        <v>Fabian Schnellhardt</v>
      </c>
      <c r="E556" s="12" t="str">
        <f>Spieltag!C544</f>
        <v>Mittelfeld</v>
      </c>
      <c r="F556" s="13" t="s">
        <v>180</v>
      </c>
      <c r="G556" s="14"/>
      <c r="H556" s="15">
        <f t="shared" si="1325"/>
        <v>0</v>
      </c>
      <c r="I556" s="14"/>
      <c r="J556" s="15">
        <f t="shared" si="1326"/>
        <v>0</v>
      </c>
      <c r="K556" s="14"/>
      <c r="L556" s="15">
        <f t="shared" si="1327"/>
        <v>0</v>
      </c>
      <c r="M556" s="14"/>
      <c r="N556" s="15">
        <f t="shared" si="1328"/>
        <v>0</v>
      </c>
      <c r="O556" s="16">
        <f t="shared" si="1276"/>
        <v>0</v>
      </c>
      <c r="P556" s="16">
        <f t="shared" si="1277"/>
        <v>-5</v>
      </c>
      <c r="Q556" s="16">
        <f t="shared" si="1320"/>
        <v>-10</v>
      </c>
      <c r="R556" s="14"/>
      <c r="S556" s="15">
        <f t="shared" si="1329"/>
        <v>0</v>
      </c>
      <c r="T556" s="14"/>
      <c r="U556" s="15">
        <f t="shared" si="1330"/>
        <v>0</v>
      </c>
      <c r="V556" s="16">
        <f t="shared" si="1331"/>
        <v>0</v>
      </c>
      <c r="W556" s="17">
        <f t="shared" si="1332"/>
        <v>0</v>
      </c>
    </row>
    <row r="557" spans="1:23" ht="10.5" hidden="1" customHeight="1" x14ac:dyDescent="0.2">
      <c r="A557" s="11"/>
      <c r="B557" s="149">
        <f>COUNTA(Spieltag!K545:AA545)</f>
        <v>0</v>
      </c>
      <c r="C557" s="166">
        <f>Spieltag!A545</f>
        <v>11</v>
      </c>
      <c r="D557" s="21" t="str">
        <f>Spieltag!B545</f>
        <v>Tobias Kempe</v>
      </c>
      <c r="E557" s="12" t="str">
        <f>Spieltag!C545</f>
        <v>Mittelfeld</v>
      </c>
      <c r="F557" s="13" t="s">
        <v>180</v>
      </c>
      <c r="G557" s="14"/>
      <c r="H557" s="15">
        <f t="shared" si="1325"/>
        <v>0</v>
      </c>
      <c r="I557" s="14"/>
      <c r="J557" s="15">
        <f t="shared" si="1326"/>
        <v>0</v>
      </c>
      <c r="K557" s="14"/>
      <c r="L557" s="15">
        <f t="shared" si="1327"/>
        <v>0</v>
      </c>
      <c r="M557" s="14"/>
      <c r="N557" s="15">
        <f t="shared" si="1328"/>
        <v>0</v>
      </c>
      <c r="O557" s="16">
        <f t="shared" si="1276"/>
        <v>0</v>
      </c>
      <c r="P557" s="16">
        <f t="shared" si="1277"/>
        <v>-5</v>
      </c>
      <c r="Q557" s="16">
        <f t="shared" si="1320"/>
        <v>-10</v>
      </c>
      <c r="R557" s="14"/>
      <c r="S557" s="15">
        <f t="shared" si="1329"/>
        <v>0</v>
      </c>
      <c r="T557" s="14"/>
      <c r="U557" s="15">
        <f t="shared" si="1330"/>
        <v>0</v>
      </c>
      <c r="V557" s="16">
        <f t="shared" si="1331"/>
        <v>0</v>
      </c>
      <c r="W557" s="17">
        <f t="shared" si="1332"/>
        <v>0</v>
      </c>
    </row>
    <row r="558" spans="1:23" ht="10.5" hidden="1" customHeight="1" x14ac:dyDescent="0.2">
      <c r="A558" s="11"/>
      <c r="B558" s="149">
        <f>COUNTA(Spieltag!K546:AA546)</f>
        <v>0</v>
      </c>
      <c r="C558" s="166">
        <f>Spieltag!A546</f>
        <v>15</v>
      </c>
      <c r="D558" s="21" t="str">
        <f>Spieltag!B546</f>
        <v>Fabian Nürnberger</v>
      </c>
      <c r="E558" s="12" t="str">
        <f>Spieltag!C546</f>
        <v>Mittelfeld</v>
      </c>
      <c r="F558" s="13" t="s">
        <v>180</v>
      </c>
      <c r="G558" s="14"/>
      <c r="H558" s="15">
        <f t="shared" si="1325"/>
        <v>0</v>
      </c>
      <c r="I558" s="14"/>
      <c r="J558" s="15">
        <f t="shared" si="1326"/>
        <v>0</v>
      </c>
      <c r="K558" s="14"/>
      <c r="L558" s="15">
        <f t="shared" si="1327"/>
        <v>0</v>
      </c>
      <c r="M558" s="14"/>
      <c r="N558" s="15">
        <f t="shared" si="1328"/>
        <v>0</v>
      </c>
      <c r="O558" s="16">
        <f t="shared" si="1276"/>
        <v>0</v>
      </c>
      <c r="P558" s="16">
        <f t="shared" si="1277"/>
        <v>-5</v>
      </c>
      <c r="Q558" s="16">
        <f t="shared" si="1320"/>
        <v>-10</v>
      </c>
      <c r="R558" s="14"/>
      <c r="S558" s="15">
        <f t="shared" si="1329"/>
        <v>0</v>
      </c>
      <c r="T558" s="14"/>
      <c r="U558" s="15">
        <f t="shared" si="1330"/>
        <v>0</v>
      </c>
      <c r="V558" s="16">
        <f t="shared" si="1331"/>
        <v>0</v>
      </c>
      <c r="W558" s="17">
        <f t="shared" si="1332"/>
        <v>0</v>
      </c>
    </row>
    <row r="559" spans="1:23" ht="10.5" hidden="1" customHeight="1" x14ac:dyDescent="0.2">
      <c r="A559" s="11"/>
      <c r="B559" s="149">
        <f>COUNTA(Spieltag!K547:AA547)</f>
        <v>0</v>
      </c>
      <c r="C559" s="166">
        <f>Spieltag!A547</f>
        <v>16</v>
      </c>
      <c r="D559" s="21" t="str">
        <f>Spieltag!B547</f>
        <v>Andreas Müller</v>
      </c>
      <c r="E559" s="12" t="str">
        <f>Spieltag!C547</f>
        <v>Mittelfeld</v>
      </c>
      <c r="F559" s="13" t="s">
        <v>180</v>
      </c>
      <c r="G559" s="14"/>
      <c r="H559" s="15">
        <f t="shared" si="1325"/>
        <v>0</v>
      </c>
      <c r="I559" s="14"/>
      <c r="J559" s="15">
        <f t="shared" si="1326"/>
        <v>0</v>
      </c>
      <c r="K559" s="14"/>
      <c r="L559" s="15">
        <f t="shared" si="1327"/>
        <v>0</v>
      </c>
      <c r="M559" s="14"/>
      <c r="N559" s="15">
        <f t="shared" si="1328"/>
        <v>0</v>
      </c>
      <c r="O559" s="16">
        <f t="shared" si="1276"/>
        <v>0</v>
      </c>
      <c r="P559" s="16">
        <f t="shared" si="1277"/>
        <v>-5</v>
      </c>
      <c r="Q559" s="16">
        <f t="shared" si="1320"/>
        <v>-10</v>
      </c>
      <c r="R559" s="14"/>
      <c r="S559" s="15">
        <f t="shared" si="1329"/>
        <v>0</v>
      </c>
      <c r="T559" s="14"/>
      <c r="U559" s="15">
        <f t="shared" si="1330"/>
        <v>0</v>
      </c>
      <c r="V559" s="16">
        <f t="shared" si="1331"/>
        <v>0</v>
      </c>
      <c r="W559" s="17">
        <f t="shared" si="1332"/>
        <v>0</v>
      </c>
    </row>
    <row r="560" spans="1:23" ht="10.5" hidden="1" customHeight="1" x14ac:dyDescent="0.2">
      <c r="A560" s="11"/>
      <c r="B560" s="149">
        <f>COUNTA(Spieltag!K548:AA548)</f>
        <v>0</v>
      </c>
      <c r="C560" s="166">
        <f>Spieltag!A548</f>
        <v>18</v>
      </c>
      <c r="D560" s="21" t="str">
        <f>Spieltag!B548</f>
        <v>Mathias Honsak (A)</v>
      </c>
      <c r="E560" s="12" t="str">
        <f>Spieltag!C548</f>
        <v>Mittelfeld</v>
      </c>
      <c r="F560" s="13" t="s">
        <v>180</v>
      </c>
      <c r="G560" s="14"/>
      <c r="H560" s="15">
        <f t="shared" si="1325"/>
        <v>0</v>
      </c>
      <c r="I560" s="14"/>
      <c r="J560" s="15">
        <f t="shared" si="1326"/>
        <v>0</v>
      </c>
      <c r="K560" s="14"/>
      <c r="L560" s="15">
        <f t="shared" si="1327"/>
        <v>0</v>
      </c>
      <c r="M560" s="14"/>
      <c r="N560" s="15">
        <f t="shared" si="1328"/>
        <v>0</v>
      </c>
      <c r="O560" s="16">
        <f t="shared" si="1276"/>
        <v>0</v>
      </c>
      <c r="P560" s="16">
        <f t="shared" si="1277"/>
        <v>-5</v>
      </c>
      <c r="Q560" s="16">
        <f t="shared" si="1320"/>
        <v>-10</v>
      </c>
      <c r="R560" s="14"/>
      <c r="S560" s="15">
        <f t="shared" si="1329"/>
        <v>0</v>
      </c>
      <c r="T560" s="14"/>
      <c r="U560" s="15">
        <f t="shared" si="1330"/>
        <v>0</v>
      </c>
      <c r="V560" s="16">
        <f t="shared" si="1331"/>
        <v>0</v>
      </c>
      <c r="W560" s="17">
        <f t="shared" si="1332"/>
        <v>0</v>
      </c>
    </row>
    <row r="561" spans="1:23" ht="10.5" hidden="1" customHeight="1" x14ac:dyDescent="0.2">
      <c r="A561" s="11"/>
      <c r="B561" s="149">
        <f>COUNTA(Spieltag!K549:AA549)</f>
        <v>0</v>
      </c>
      <c r="C561" s="166">
        <f>Spieltag!A549</f>
        <v>23</v>
      </c>
      <c r="D561" s="21" t="str">
        <f>Spieltag!B549</f>
        <v>Klaus Gjasula (A)</v>
      </c>
      <c r="E561" s="12" t="str">
        <f>Spieltag!C549</f>
        <v>Mittelfeld</v>
      </c>
      <c r="F561" s="13" t="s">
        <v>180</v>
      </c>
      <c r="G561" s="14"/>
      <c r="H561" s="15">
        <f t="shared" si="1325"/>
        <v>0</v>
      </c>
      <c r="I561" s="14"/>
      <c r="J561" s="15">
        <f t="shared" si="1326"/>
        <v>0</v>
      </c>
      <c r="K561" s="14"/>
      <c r="L561" s="15">
        <f t="shared" si="1327"/>
        <v>0</v>
      </c>
      <c r="M561" s="14"/>
      <c r="N561" s="15">
        <f t="shared" si="1328"/>
        <v>0</v>
      </c>
      <c r="O561" s="16">
        <f t="shared" si="1276"/>
        <v>0</v>
      </c>
      <c r="P561" s="16">
        <f t="shared" si="1277"/>
        <v>-5</v>
      </c>
      <c r="Q561" s="16">
        <f t="shared" si="1320"/>
        <v>-10</v>
      </c>
      <c r="R561" s="14"/>
      <c r="S561" s="15">
        <f t="shared" si="1329"/>
        <v>0</v>
      </c>
      <c r="T561" s="14"/>
      <c r="U561" s="15">
        <f t="shared" si="1330"/>
        <v>0</v>
      </c>
      <c r="V561" s="16">
        <f t="shared" si="1331"/>
        <v>0</v>
      </c>
      <c r="W561" s="17">
        <f t="shared" si="1332"/>
        <v>0</v>
      </c>
    </row>
    <row r="562" spans="1:23" ht="10.5" hidden="1" customHeight="1" x14ac:dyDescent="0.2">
      <c r="A562" s="11"/>
      <c r="B562" s="149">
        <f>COUNTA(Spieltag!K550:AA550)</f>
        <v>0</v>
      </c>
      <c r="C562" s="166">
        <f>Spieltag!A550</f>
        <v>9</v>
      </c>
      <c r="D562" s="21" t="str">
        <f>Spieltag!B550</f>
        <v>Fraser Hornby (A)</v>
      </c>
      <c r="E562" s="12" t="str">
        <f>Spieltag!C550</f>
        <v>Sturm</v>
      </c>
      <c r="F562" s="13" t="s">
        <v>180</v>
      </c>
      <c r="G562" s="14"/>
      <c r="H562" s="15">
        <f t="shared" ref="H562" si="1333">IF(G562="x",10,0)</f>
        <v>0</v>
      </c>
      <c r="I562" s="14"/>
      <c r="J562" s="15">
        <f t="shared" ref="J562" si="1334">IF((I562="x"),-10,0)</f>
        <v>0</v>
      </c>
      <c r="K562" s="14"/>
      <c r="L562" s="15">
        <f t="shared" ref="L562" si="1335">IF((K562="x"),-20,0)</f>
        <v>0</v>
      </c>
      <c r="M562" s="14"/>
      <c r="N562" s="15">
        <f t="shared" ref="N562" si="1336">IF((M562="x"),-30,0)</f>
        <v>0</v>
      </c>
      <c r="O562" s="16">
        <f t="shared" ref="O562:O566" si="1337">IF(AND($P$7&gt;$Q$7),20,IF($P$7=$Q$7,10,0))</f>
        <v>0</v>
      </c>
      <c r="P562" s="16">
        <f t="shared" ref="P562:P566" si="1338">IF(($P$7&lt;&gt;0),$P$7*10,-5)</f>
        <v>-5</v>
      </c>
      <c r="Q562" s="16">
        <f t="shared" ref="Q562:Q566" si="1339">IF(($Q$7&lt;&gt;0),$Q$7*-10,5)</f>
        <v>-10</v>
      </c>
      <c r="R562" s="14"/>
      <c r="S562" s="15">
        <f t="shared" ref="S562" si="1340">R562*10</f>
        <v>0</v>
      </c>
      <c r="T562" s="14"/>
      <c r="U562" s="15">
        <f t="shared" ref="U562" si="1341">T562*-15</f>
        <v>0</v>
      </c>
      <c r="V562" s="16">
        <f t="shared" ref="V562" si="1342">IF(AND(R562=2),10,IF(R562=3,30,IF(R562=4,50,IF(R562=5,70,0))))</f>
        <v>0</v>
      </c>
      <c r="W562" s="17">
        <f t="shared" ref="W562" si="134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COUNTA(Spieltag!K551:AA551)</f>
        <v>0</v>
      </c>
      <c r="C563" s="166">
        <f>Spieltag!A551</f>
        <v>22</v>
      </c>
      <c r="D563" s="21" t="str">
        <f>Spieltag!B551</f>
        <v>Aaron Seydel</v>
      </c>
      <c r="E563" s="12" t="str">
        <f>Spieltag!C551</f>
        <v>Sturm</v>
      </c>
      <c r="F563" s="13" t="s">
        <v>180</v>
      </c>
      <c r="G563" s="14"/>
      <c r="H563" s="15">
        <f t="shared" ref="H563:H566" si="1344">IF(G563="x",10,0)</f>
        <v>0</v>
      </c>
      <c r="I563" s="14"/>
      <c r="J563" s="15">
        <f t="shared" ref="J563:J566" si="1345">IF((I563="x"),-10,0)</f>
        <v>0</v>
      </c>
      <c r="K563" s="14"/>
      <c r="L563" s="15">
        <f t="shared" ref="L563:L566" si="1346">IF((K563="x"),-20,0)</f>
        <v>0</v>
      </c>
      <c r="M563" s="14"/>
      <c r="N563" s="15">
        <f t="shared" ref="N563:N566" si="1347">IF((M563="x"),-30,0)</f>
        <v>0</v>
      </c>
      <c r="O563" s="16">
        <f t="shared" si="1337"/>
        <v>0</v>
      </c>
      <c r="P563" s="16">
        <f t="shared" si="1338"/>
        <v>-5</v>
      </c>
      <c r="Q563" s="16">
        <f t="shared" si="1339"/>
        <v>-10</v>
      </c>
      <c r="R563" s="14"/>
      <c r="S563" s="15">
        <f t="shared" ref="S563:S566" si="1348">R563*10</f>
        <v>0</v>
      </c>
      <c r="T563" s="14"/>
      <c r="U563" s="15">
        <f t="shared" ref="U563:U566" si="1349">T563*-15</f>
        <v>0</v>
      </c>
      <c r="V563" s="16">
        <f t="shared" ref="V563:V566" si="1350">IF(AND(R563=2),10,IF(R563=3,30,IF(R563=4,50,IF(R563=5,70,0))))</f>
        <v>0</v>
      </c>
      <c r="W563" s="17">
        <f t="shared" ref="W563:W566" si="1351"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COUNTA(Spieltag!K552:AA552)</f>
        <v>0</v>
      </c>
      <c r="C564" s="166">
        <f>Spieltag!A552</f>
        <v>29</v>
      </c>
      <c r="D564" s="21" t="str">
        <f>Spieltag!B552</f>
        <v>Oscar Vilhelmsson (A)</v>
      </c>
      <c r="E564" s="12" t="str">
        <f>Spieltag!C552</f>
        <v>Sturm</v>
      </c>
      <c r="F564" s="13" t="s">
        <v>180</v>
      </c>
      <c r="G564" s="14"/>
      <c r="H564" s="15">
        <f t="shared" si="1344"/>
        <v>0</v>
      </c>
      <c r="I564" s="14"/>
      <c r="J564" s="15">
        <f t="shared" si="1345"/>
        <v>0</v>
      </c>
      <c r="K564" s="14"/>
      <c r="L564" s="15">
        <f t="shared" si="1346"/>
        <v>0</v>
      </c>
      <c r="M564" s="14"/>
      <c r="N564" s="15">
        <f t="shared" si="1347"/>
        <v>0</v>
      </c>
      <c r="O564" s="16">
        <f t="shared" si="1337"/>
        <v>0</v>
      </c>
      <c r="P564" s="16">
        <f t="shared" si="1338"/>
        <v>-5</v>
      </c>
      <c r="Q564" s="16">
        <f t="shared" si="1339"/>
        <v>-10</v>
      </c>
      <c r="R564" s="14"/>
      <c r="S564" s="15">
        <f t="shared" si="1348"/>
        <v>0</v>
      </c>
      <c r="T564" s="14"/>
      <c r="U564" s="15">
        <f t="shared" si="1349"/>
        <v>0</v>
      </c>
      <c r="V564" s="16">
        <f t="shared" si="1350"/>
        <v>0</v>
      </c>
      <c r="W564" s="17">
        <f t="shared" si="1351"/>
        <v>0</v>
      </c>
    </row>
    <row r="565" spans="1:23" ht="10.5" hidden="1" customHeight="1" x14ac:dyDescent="0.2">
      <c r="A565" s="11"/>
      <c r="B565" s="149">
        <f>COUNTA(Spieltag!K553:AA553)</f>
        <v>0</v>
      </c>
      <c r="C565" s="166">
        <f>Spieltag!A553</f>
        <v>40</v>
      </c>
      <c r="D565" s="21" t="str">
        <f>Spieltag!B553</f>
        <v>Filip Stojilkovic (A)</v>
      </c>
      <c r="E565" s="12" t="str">
        <f>Spieltag!C553</f>
        <v>Sturm</v>
      </c>
      <c r="F565" s="13" t="s">
        <v>180</v>
      </c>
      <c r="G565" s="14"/>
      <c r="H565" s="15">
        <f t="shared" si="1344"/>
        <v>0</v>
      </c>
      <c r="I565" s="14"/>
      <c r="J565" s="15">
        <f t="shared" si="1345"/>
        <v>0</v>
      </c>
      <c r="K565" s="14"/>
      <c r="L565" s="15">
        <f t="shared" si="1346"/>
        <v>0</v>
      </c>
      <c r="M565" s="14"/>
      <c r="N565" s="15">
        <f t="shared" si="1347"/>
        <v>0</v>
      </c>
      <c r="O565" s="16">
        <f t="shared" si="1337"/>
        <v>0</v>
      </c>
      <c r="P565" s="16">
        <f t="shared" si="1338"/>
        <v>-5</v>
      </c>
      <c r="Q565" s="16">
        <f t="shared" si="1339"/>
        <v>-10</v>
      </c>
      <c r="R565" s="14"/>
      <c r="S565" s="15">
        <f t="shared" si="1348"/>
        <v>0</v>
      </c>
      <c r="T565" s="14"/>
      <c r="U565" s="15">
        <f t="shared" si="1349"/>
        <v>0</v>
      </c>
      <c r="V565" s="16">
        <f t="shared" si="1350"/>
        <v>0</v>
      </c>
      <c r="W565" s="17">
        <f t="shared" si="1351"/>
        <v>0</v>
      </c>
    </row>
    <row r="566" spans="1:23" ht="10.5" hidden="1" customHeight="1" x14ac:dyDescent="0.2">
      <c r="A566" s="11"/>
      <c r="B566" s="149">
        <f>COUNTA(Spieltag!K554:AA554)</f>
        <v>0</v>
      </c>
      <c r="C566" s="166">
        <f>Spieltag!A554</f>
        <v>42</v>
      </c>
      <c r="D566" s="21" t="str">
        <f>Spieltag!B554</f>
        <v>Fabio Torsiello</v>
      </c>
      <c r="E566" s="12" t="str">
        <f>Spieltag!C554</f>
        <v>Sturm</v>
      </c>
      <c r="F566" s="13" t="s">
        <v>180</v>
      </c>
      <c r="G566" s="14"/>
      <c r="H566" s="15">
        <f t="shared" si="1344"/>
        <v>0</v>
      </c>
      <c r="I566" s="14"/>
      <c r="J566" s="15">
        <f t="shared" si="1345"/>
        <v>0</v>
      </c>
      <c r="K566" s="14"/>
      <c r="L566" s="15">
        <f t="shared" si="1346"/>
        <v>0</v>
      </c>
      <c r="M566" s="14"/>
      <c r="N566" s="15">
        <f t="shared" si="1347"/>
        <v>0</v>
      </c>
      <c r="O566" s="16">
        <f t="shared" si="1337"/>
        <v>0</v>
      </c>
      <c r="P566" s="16">
        <f t="shared" si="1338"/>
        <v>-5</v>
      </c>
      <c r="Q566" s="16">
        <f t="shared" si="1339"/>
        <v>-10</v>
      </c>
      <c r="R566" s="14"/>
      <c r="S566" s="15">
        <f t="shared" si="1348"/>
        <v>0</v>
      </c>
      <c r="T566" s="14"/>
      <c r="U566" s="15">
        <f t="shared" si="1349"/>
        <v>0</v>
      </c>
      <c r="V566" s="16">
        <f t="shared" si="1350"/>
        <v>0</v>
      </c>
      <c r="W566" s="17">
        <f t="shared" si="1351"/>
        <v>0</v>
      </c>
    </row>
    <row r="567" spans="1:23" ht="10.5" hidden="1" customHeight="1" x14ac:dyDescent="0.2"/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77:W77"/>
    <mergeCell ref="D45:W45"/>
    <mergeCell ref="D382:W382"/>
    <mergeCell ref="D166:W166"/>
    <mergeCell ref="D473:W473"/>
    <mergeCell ref="D410:W410"/>
    <mergeCell ref="D538:W538"/>
    <mergeCell ref="D232:W232"/>
    <mergeCell ref="D322:W322"/>
    <mergeCell ref="D105:W105"/>
    <mergeCell ref="D264:W264"/>
    <mergeCell ref="D194:W194"/>
    <mergeCell ref="D439:W439"/>
    <mergeCell ref="D507:W507"/>
    <mergeCell ref="D138:W138"/>
    <mergeCell ref="D352:W352"/>
    <mergeCell ref="D289:W28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H904" sqref="H904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32</v>
      </c>
      <c r="E3" s="32" t="s">
        <v>6</v>
      </c>
      <c r="F3" s="29"/>
      <c r="G3" s="30" t="s">
        <v>92</v>
      </c>
      <c r="H3" s="31">
        <f>'[2]Bax de Luxe'!$B$3</f>
        <v>32</v>
      </c>
      <c r="I3" s="32" t="s">
        <v>6</v>
      </c>
      <c r="J3" s="29"/>
      <c r="K3" s="30" t="s">
        <v>92</v>
      </c>
      <c r="L3" s="31">
        <f>[2]Nobody!$B$3</f>
        <v>32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VLOOKUP(B5,Spieltag!$K$2:$AB$1576,18,0)</f>
        <v>Kevin Trapp</v>
      </c>
      <c r="D5" s="115" t="str">
        <f>VLOOKUP(C5,Auswertung!$D$15:$F$1466,3,0)</f>
        <v>Frankfurt</v>
      </c>
      <c r="E5" s="116">
        <f>VLOOKUP(C5,Auswertung!$D$15:$W$1466,20,0)</f>
        <v>60</v>
      </c>
      <c r="F5" s="39">
        <v>1</v>
      </c>
      <c r="G5" s="114" t="str">
        <f>VLOOKUP(F5,Spieltag!$L$2:$AB$1576,17,0)</f>
        <v>Kevin Trapp</v>
      </c>
      <c r="H5" s="115" t="str">
        <f>VLOOKUP(G5,Auswertung!$D$15:$F$1466,3,0)</f>
        <v>Frankfurt</v>
      </c>
      <c r="I5" s="116">
        <f>VLOOKUP(G5,Auswertung!$D$15:$W$1466,20,0)</f>
        <v>60</v>
      </c>
      <c r="J5" s="39">
        <v>1</v>
      </c>
      <c r="K5" s="114" t="str">
        <f>VLOOKUP(J5,Spieltag!$M$2:$AB$1576,16,0)</f>
        <v>Kevin Trapp</v>
      </c>
      <c r="L5" s="115" t="str">
        <f>VLOOKUP(K5,Auswertung!$D$15:$F$1466,3,0)</f>
        <v>Frankfurt</v>
      </c>
      <c r="M5" s="116">
        <f>VLOOKUP(K5,Auswertung!$D$15:$W$1466,20,0)</f>
        <v>60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VLOOKUP(B6,Spieltag!$K$2:$AB$1576,18,0)</f>
        <v>Min-Jae Kim (A)</v>
      </c>
      <c r="D6" s="118" t="str">
        <f>VLOOKUP(C6,Auswertung!$D$15:$F$1466,3,0)</f>
        <v>München</v>
      </c>
      <c r="E6" s="119">
        <f>VLOOKUP(C6,Auswertung!$D$15:$W$1466,20,0)</f>
        <v>75</v>
      </c>
      <c r="F6" s="39">
        <v>2</v>
      </c>
      <c r="G6" s="117" t="str">
        <f>VLOOKUP(F6,Spieltag!$L$2:$AB$1576,17,0)</f>
        <v>Min-Jae Kim (A)</v>
      </c>
      <c r="H6" s="118" t="str">
        <f>VLOOKUP(G6,Auswertung!$D$15:$F$1466,3,0)</f>
        <v>München</v>
      </c>
      <c r="I6" s="119">
        <f>VLOOKUP(G6,Auswertung!$D$15:$W$1466,20,0)</f>
        <v>75</v>
      </c>
      <c r="J6" s="39">
        <v>2</v>
      </c>
      <c r="K6" s="117" t="str">
        <f>VLOOKUP(J6,Spieltag!$M$2:$AB$1576,16,0)</f>
        <v>Nico Schlotterbeck</v>
      </c>
      <c r="L6" s="118" t="str">
        <f>VLOOKUP(K6,Auswertung!$D$15:$F$1466,3,0)</f>
        <v>Dortmund</v>
      </c>
      <c r="M6" s="119">
        <f>VLOOKUP(K6,Auswertung!$D$15:$W$1466,20,0)</f>
        <v>0</v>
      </c>
    </row>
    <row r="7" spans="1:13" ht="11.25" customHeight="1" x14ac:dyDescent="0.2">
      <c r="A7" s="41"/>
      <c r="B7" s="27">
        <v>3</v>
      </c>
      <c r="C7" s="117" t="str">
        <f>VLOOKUP(B7,Spieltag!$K$2:$AB$1576,18,0)</f>
        <v>Robin Koch</v>
      </c>
      <c r="D7" s="118" t="str">
        <f>VLOOKUP(C7,Auswertung!$D$15:$F$1466,3,0)</f>
        <v>Frankfurt</v>
      </c>
      <c r="E7" s="119">
        <f>VLOOKUP(C7,Auswertung!$D$15:$W$1466,20,0)</f>
        <v>45</v>
      </c>
      <c r="F7" s="42">
        <v>3</v>
      </c>
      <c r="G7" s="117" t="str">
        <f>VLOOKUP(F7,Spieltag!$L$2:$AB$1576,17,0)</f>
        <v>Kevin Vogt</v>
      </c>
      <c r="H7" s="118" t="str">
        <f>VLOOKUP(G7,Auswertung!$D$15:$F$1466,3,0)</f>
        <v>Hoffenheim</v>
      </c>
      <c r="I7" s="119">
        <f>VLOOKUP(G7,Auswertung!$D$15:$W$1466,20,0)</f>
        <v>0</v>
      </c>
      <c r="J7" s="42">
        <v>3</v>
      </c>
      <c r="K7" s="117" t="str">
        <f>VLOOKUP(J7,Spieltag!$M$2:$AB$1576,16,0)</f>
        <v>Willi Orban</v>
      </c>
      <c r="L7" s="118" t="str">
        <f>VLOOKUP(K7,Auswertung!$D$15:$F$1466,3,0)</f>
        <v>Leipzig</v>
      </c>
      <c r="M7" s="119">
        <f>VLOOKUP(K7,Auswertung!$D$15:$W$1466,20,0)</f>
        <v>0</v>
      </c>
    </row>
    <row r="8" spans="1:13" ht="11.25" customHeight="1" x14ac:dyDescent="0.2">
      <c r="A8" s="41"/>
      <c r="B8" s="27">
        <v>4</v>
      </c>
      <c r="C8" s="117" t="str">
        <f>VLOOKUP(B8,Spieltag!$K$2:$AB$1576,18,0)</f>
        <v>Niklas Süle</v>
      </c>
      <c r="D8" s="118" t="str">
        <f>VLOOKUP(C8,Auswertung!$D$15:$F$1466,3,0)</f>
        <v>Dortmund</v>
      </c>
      <c r="E8" s="119">
        <f>VLOOKUP(C8,Auswertung!$D$15:$W$1466,20,0)</f>
        <v>55</v>
      </c>
      <c r="F8" s="42">
        <v>4</v>
      </c>
      <c r="G8" s="117" t="str">
        <f>VLOOKUP(F8,Spieltag!$L$2:$AB$1576,17,0)</f>
        <v>Niklas Süle</v>
      </c>
      <c r="H8" s="118" t="str">
        <f>VLOOKUP(G8,Auswertung!$D$15:$F$1466,3,0)</f>
        <v>Dortmund</v>
      </c>
      <c r="I8" s="119">
        <f>VLOOKUP(G8,Auswertung!$D$15:$W$1466,20,0)</f>
        <v>55</v>
      </c>
      <c r="J8" s="42">
        <v>4</v>
      </c>
      <c r="K8" s="117" t="str">
        <f>VLOOKUP(J8,Spieltag!$M$2:$AB$1576,16,0)</f>
        <v>Jeremie Frimpong (A)</v>
      </c>
      <c r="L8" s="118" t="str">
        <f>VLOOKUP(K8,Auswertung!$D$15:$F$1466,3,0)</f>
        <v>Leverkusen</v>
      </c>
      <c r="M8" s="119">
        <f>VLOOKUP(K8,Auswertung!$D$15:$W$1466,20,0)</f>
        <v>55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VLOOKUP(B9,Spieltag!$K$2:$AB$1576,18,0)</f>
        <v>Jamal Musiala</v>
      </c>
      <c r="D9" s="121" t="str">
        <f>VLOOKUP(C9,Auswertung!$D$15:$F$1466,3,0)</f>
        <v>München</v>
      </c>
      <c r="E9" s="122">
        <f>VLOOKUP(C9,Auswertung!$D$15:$W$1466,20,0)</f>
        <v>80</v>
      </c>
      <c r="F9" s="39">
        <v>5</v>
      </c>
      <c r="G9" s="120" t="str">
        <f>VLOOKUP(F9,Spieltag!$L$2:$AB$1576,17,0)</f>
        <v>Jonas Hofmann</v>
      </c>
      <c r="H9" s="121" t="str">
        <f>VLOOKUP(G9,Auswertung!$D$15:$F$1466,3,0)</f>
        <v>Leverkusen</v>
      </c>
      <c r="I9" s="122">
        <f>VLOOKUP(G9,Auswertung!$D$15:$W$1466,20,0)</f>
        <v>40</v>
      </c>
      <c r="J9" s="39">
        <v>5</v>
      </c>
      <c r="K9" s="120" t="str">
        <f>VLOOKUP(J9,Spieltag!$M$2:$AB$1576,16,0)</f>
        <v>Jamal Musiala</v>
      </c>
      <c r="L9" s="121" t="str">
        <f>VLOOKUP(K9,Auswertung!$D$15:$F$1466,3,0)</f>
        <v>München</v>
      </c>
      <c r="M9" s="122">
        <f>VLOOKUP(K9,Auswertung!$D$15:$W$1466,20,0)</f>
        <v>80</v>
      </c>
    </row>
    <row r="10" spans="1:13" ht="11.25" customHeight="1" x14ac:dyDescent="0.2">
      <c r="A10" s="43"/>
      <c r="B10" s="38">
        <v>6</v>
      </c>
      <c r="C10" s="120" t="str">
        <f>VLOOKUP(B10,Spieltag!$K$2:$AB$1576,18,0)</f>
        <v>Dani Olmo (A)</v>
      </c>
      <c r="D10" s="121" t="str">
        <f>VLOOKUP(C10,Auswertung!$D$15:$F$1466,3,0)</f>
        <v>Leipzig</v>
      </c>
      <c r="E10" s="122">
        <f>VLOOKUP(C10,Auswertung!$D$15:$W$1466,20,0)</f>
        <v>10</v>
      </c>
      <c r="F10" s="39">
        <v>6</v>
      </c>
      <c r="G10" s="120" t="str">
        <f>VLOOKUP(F10,Spieltag!$L$2:$AB$1576,17,0)</f>
        <v>Joshua Kimmich</v>
      </c>
      <c r="H10" s="121" t="str">
        <f>VLOOKUP(G10,Auswertung!$D$15:$F$1466,3,0)</f>
        <v>München</v>
      </c>
      <c r="I10" s="122">
        <f>VLOOKUP(G10,Auswertung!$D$15:$W$1466,20,0)</f>
        <v>80</v>
      </c>
      <c r="J10" s="39">
        <v>6</v>
      </c>
      <c r="K10" s="120" t="str">
        <f>VLOOKUP(J10,Spieltag!$M$2:$AB$1576,16,0)</f>
        <v>Marco Reus</v>
      </c>
      <c r="L10" s="121" t="str">
        <f>VLOOKUP(K10,Auswertung!$D$15:$F$1466,3,0)</f>
        <v>Dortmund</v>
      </c>
      <c r="M10" s="122">
        <f>VLOOKUP(K10,Auswertung!$D$15:$W$1466,20,0)</f>
        <v>50</v>
      </c>
    </row>
    <row r="11" spans="1:13" ht="11.25" customHeight="1" x14ac:dyDescent="0.2">
      <c r="A11" s="44"/>
      <c r="B11" s="27">
        <v>7</v>
      </c>
      <c r="C11" s="120" t="str">
        <f>VLOOKUP(B11,Spieltag!$K$2:$AB$1576,18,0)</f>
        <v>Jonas Hofmann</v>
      </c>
      <c r="D11" s="121" t="str">
        <f>VLOOKUP(C11,Auswertung!$D$15:$F$1466,3,0)</f>
        <v>Leverkusen</v>
      </c>
      <c r="E11" s="122">
        <f>VLOOKUP(C11,Auswertung!$D$15:$W$1466,20,0)</f>
        <v>40</v>
      </c>
      <c r="F11" s="42">
        <v>7</v>
      </c>
      <c r="G11" s="120" t="str">
        <f>VLOOKUP(F11,Spieltag!$L$2:$AB$1576,17,0)</f>
        <v>Rani Khedira</v>
      </c>
      <c r="H11" s="121" t="str">
        <f>VLOOKUP(G11,Auswertung!$D$15:$F$1466,3,0)</f>
        <v>Union Berlin</v>
      </c>
      <c r="I11" s="122">
        <f>VLOOKUP(G11,Auswertung!$D$15:$W$1466,20,0)</f>
        <v>0</v>
      </c>
      <c r="J11" s="42">
        <v>7</v>
      </c>
      <c r="K11" s="120" t="str">
        <f>VLOOKUP(J11,Spieltag!$M$2:$AB$1576,16,0)</f>
        <v>Mario Götze</v>
      </c>
      <c r="L11" s="121" t="str">
        <f>VLOOKUP(K11,Auswertung!$D$15:$F$1466,3,0)</f>
        <v>Frankfurt</v>
      </c>
      <c r="M11" s="122">
        <f>VLOOKUP(K11,Auswertung!$D$15:$W$1466,20,0)</f>
        <v>50</v>
      </c>
    </row>
    <row r="12" spans="1:13" ht="11.25" customHeight="1" x14ac:dyDescent="0.2">
      <c r="A12" s="44"/>
      <c r="B12" s="27">
        <v>8</v>
      </c>
      <c r="C12" s="120" t="str">
        <f>VLOOKUP(B12,Spieltag!$K$2:$AB$1576,18,0)</f>
        <v>Julian Brandt</v>
      </c>
      <c r="D12" s="121" t="str">
        <f>VLOOKUP(C12,Auswertung!$D$15:$F$1466,3,0)</f>
        <v>Dortmund</v>
      </c>
      <c r="E12" s="122">
        <f>VLOOKUP(C12,Auswertung!$D$15:$W$1466,20,0)</f>
        <v>50</v>
      </c>
      <c r="F12" s="42">
        <v>8</v>
      </c>
      <c r="G12" s="120" t="str">
        <f>VLOOKUP(F12,Spieltag!$L$2:$AB$1576,17,0)</f>
        <v>Dani Olmo (A)</v>
      </c>
      <c r="H12" s="121" t="str">
        <f>VLOOKUP(G12,Auswertung!$D$15:$F$1466,3,0)</f>
        <v>Leipzig</v>
      </c>
      <c r="I12" s="122">
        <f>VLOOKUP(G12,Auswertung!$D$15:$W$1466,20,0)</f>
        <v>10</v>
      </c>
      <c r="J12" s="42">
        <v>8</v>
      </c>
      <c r="K12" s="120" t="str">
        <f>VLOOKUP(J12,Spieltag!$M$2:$AB$1576,16,0)</f>
        <v>Dani Olmo (A)</v>
      </c>
      <c r="L12" s="121" t="str">
        <f>VLOOKUP(K12,Auswertung!$D$15:$F$1466,3,0)</f>
        <v>Leipzig</v>
      </c>
      <c r="M12" s="122">
        <f>VLOOKUP(K12,Auswertung!$D$15:$W$1466,20,0)</f>
        <v>10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VLOOKUP(B13,Spieltag!$K$2:$AB$1576,18,0)</f>
        <v>Victor Boniface (A)</v>
      </c>
      <c r="D13" s="124" t="str">
        <f>VLOOKUP(C13,Auswertung!$D$15:$F$1466,3,0)</f>
        <v>Leverkusen</v>
      </c>
      <c r="E13" s="125">
        <f>VLOOKUP(C13,Auswertung!$D$15:$W$1466,20,0)</f>
        <v>30</v>
      </c>
      <c r="F13" s="39">
        <v>9</v>
      </c>
      <c r="G13" s="123" t="str">
        <f>VLOOKUP(F13,Spieltag!$L$2:$AB$1576,17,0)</f>
        <v>Randal Kolo Muani (A)</v>
      </c>
      <c r="H13" s="124" t="str">
        <f>VLOOKUP(G13,Auswertung!$D$15:$F$1466,3,0)</f>
        <v>Frankfurt</v>
      </c>
      <c r="I13" s="125">
        <f>VLOOKUP(G13,Auswertung!$D$15:$W$1466,20,0)</f>
        <v>55</v>
      </c>
      <c r="J13" s="39">
        <v>9</v>
      </c>
      <c r="K13" s="123" t="str">
        <f>VLOOKUP(J13,Spieltag!$M$2:$AB$1576,16,0)</f>
        <v>Andrej Kramaric (A)</v>
      </c>
      <c r="L13" s="124" t="str">
        <f>VLOOKUP(K13,Auswertung!$D$15:$F$1466,3,0)</f>
        <v>Hoffenheim</v>
      </c>
      <c r="M13" s="125">
        <f>VLOOKUP(K13,Auswertung!$D$15:$W$1466,20,0)</f>
        <v>0</v>
      </c>
    </row>
    <row r="14" spans="1:13" ht="11.25" customHeight="1" x14ac:dyDescent="0.2">
      <c r="A14" s="46"/>
      <c r="B14" s="27">
        <v>10</v>
      </c>
      <c r="C14" s="123" t="str">
        <f>VLOOKUP(B14,Spieltag!$K$2:$AB$1576,18,0)</f>
        <v>Andrej Kramaric (A)</v>
      </c>
      <c r="D14" s="124" t="str">
        <f>VLOOKUP(C14,Auswertung!$D$15:$F$1466,3,0)</f>
        <v>Hoffenheim</v>
      </c>
      <c r="E14" s="125">
        <f>VLOOKUP(C14,Auswertung!$D$15:$W$1466,20,0)</f>
        <v>0</v>
      </c>
      <c r="F14" s="42">
        <v>10</v>
      </c>
      <c r="G14" s="123" t="str">
        <f>VLOOKUP(F14,Spieltag!$L$2:$AB$1576,17,0)</f>
        <v>Lois Openda (A)</v>
      </c>
      <c r="H14" s="124" t="str">
        <f>VLOOKUP(G14,Auswertung!$D$15:$F$1466,3,0)</f>
        <v>Leipzig</v>
      </c>
      <c r="I14" s="125">
        <f>VLOOKUP(G14,Auswertung!$D$15:$W$1466,20,0)</f>
        <v>10</v>
      </c>
      <c r="J14" s="42">
        <v>10</v>
      </c>
      <c r="K14" s="123" t="str">
        <f>VLOOKUP(J14,Spieltag!$M$2:$AB$1576,16,0)</f>
        <v>Serge Gnabry</v>
      </c>
      <c r="L14" s="124" t="str">
        <f>VLOOKUP(K14,Auswertung!$D$15:$F$1466,3,0)</f>
        <v>München</v>
      </c>
      <c r="M14" s="125">
        <f>VLOOKUP(K14,Auswertung!$D$15:$W$1466,20,0)</f>
        <v>0</v>
      </c>
    </row>
    <row r="15" spans="1:13" ht="11.25" customHeight="1" x14ac:dyDescent="0.2">
      <c r="A15" s="46"/>
      <c r="B15" s="27">
        <v>11</v>
      </c>
      <c r="C15" s="123" t="str">
        <f>VLOOKUP(B15,Spieltag!$K$2:$AB$1576,18,0)</f>
        <v>Lois Openda (A)</v>
      </c>
      <c r="D15" s="124" t="str">
        <f>VLOOKUP(C15,Auswertung!$D$15:$F$1466,3,0)</f>
        <v>Leipzig</v>
      </c>
      <c r="E15" s="125">
        <f>VLOOKUP(C15,Auswertung!$D$15:$W$1466,20,0)</f>
        <v>10</v>
      </c>
      <c r="F15" s="42">
        <v>11</v>
      </c>
      <c r="G15" s="123" t="str">
        <f>VLOOKUP(F15,Spieltag!$L$2:$AB$1576,17,0)</f>
        <v>Sebastien Haller (A)</v>
      </c>
      <c r="H15" s="124" t="str">
        <f>VLOOKUP(G15,Auswertung!$D$15:$F$1466,3,0)</f>
        <v>Dortmund</v>
      </c>
      <c r="I15" s="125">
        <f>VLOOKUP(G15,Auswertung!$D$15:$W$1466,20,0)</f>
        <v>45</v>
      </c>
      <c r="J15" s="42">
        <v>11</v>
      </c>
      <c r="K15" s="123" t="str">
        <f>VLOOKUP(J15,Spieltag!$M$2:$AB$1576,16,0)</f>
        <v>Adam Hlousek (A)</v>
      </c>
      <c r="L15" s="124" t="str">
        <f>VLOOKUP(K15,Auswertung!$D$15:$F$1466,3,0)</f>
        <v>Leverkusen</v>
      </c>
      <c r="M15" s="125">
        <f>VLOOKUP(K15,Auswertung!$D$15:$W$1466,20,0)</f>
        <v>40</v>
      </c>
    </row>
    <row r="16" spans="1:13" ht="11.25" customHeight="1" thickBot="1" x14ac:dyDescent="0.25">
      <c r="E16" s="47">
        <f>SUM(E5:E15)</f>
        <v>455</v>
      </c>
      <c r="G16" s="208"/>
      <c r="I16" s="47">
        <f>SUM(I5:I15)</f>
        <v>430</v>
      </c>
      <c r="M16" s="47">
        <f>SUM(M5:M15)</f>
        <v>345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32</v>
      </c>
      <c r="E20" s="32" t="s">
        <v>6</v>
      </c>
      <c r="F20" s="29"/>
      <c r="G20" s="30" t="s">
        <v>92</v>
      </c>
      <c r="H20" s="31">
        <f>[2]Pitti!$B$3</f>
        <v>32</v>
      </c>
      <c r="I20" s="32" t="s">
        <v>6</v>
      </c>
      <c r="J20" s="29"/>
      <c r="K20" s="30" t="s">
        <v>92</v>
      </c>
      <c r="L20" s="31">
        <f>[2]Himmelfahrtskommando!$B$3</f>
        <v>32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VLOOKUP(B22,Spieltag!$N$2:$AB$1576,15,0)</f>
        <v>Kevin Trapp</v>
      </c>
      <c r="D22" s="115" t="str">
        <f>VLOOKUP(C22,Auswertung!$D$15:$F$1466,3,0)</f>
        <v>Frankfurt</v>
      </c>
      <c r="E22" s="116">
        <f>VLOOKUP(C22,Auswertung!$D$15:$W$1466,20,0)</f>
        <v>60</v>
      </c>
      <c r="F22" s="38">
        <v>1</v>
      </c>
      <c r="G22" s="114" t="str">
        <f>VLOOKUP(F22,Spieltag!$O$2:$AB$1576,14,0)</f>
        <v>Sven Ulreich</v>
      </c>
      <c r="H22" s="115" t="str">
        <f>VLOOKUP(G22,Auswertung!$D$15:$F$1466,3,0)</f>
        <v>München</v>
      </c>
      <c r="I22" s="116">
        <f>VLOOKUP(G22,Auswertung!$D$15:$W$1466,20,0)</f>
        <v>90</v>
      </c>
      <c r="J22" s="39">
        <v>1</v>
      </c>
      <c r="K22" s="114" t="str">
        <f>VLOOKUP(J22,Spieltag!$P$2:$AB$1576,13,0)</f>
        <v>Kevin Trapp</v>
      </c>
      <c r="L22" s="115" t="str">
        <f>VLOOKUP(K22,Auswertung!$D$15:$F$1466,3,0)</f>
        <v>Frankfurt</v>
      </c>
      <c r="M22" s="116">
        <f>VLOOKUP(K22,Auswertung!$D$15:$W$1466,20,0)</f>
        <v>60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VLOOKUP(B23,Spieltag!$N$2:$AB$1576,15,0)</f>
        <v>Niklas Süle</v>
      </c>
      <c r="D23" s="118" t="str">
        <f>VLOOKUP(C23,Auswertung!$D$15:$F$1466,3,0)</f>
        <v>Dortmund</v>
      </c>
      <c r="E23" s="119">
        <f>VLOOKUP(C23,Auswertung!$D$15:$W$1466,20,0)</f>
        <v>55</v>
      </c>
      <c r="F23" s="38">
        <v>2</v>
      </c>
      <c r="G23" s="117" t="str">
        <f>VLOOKUP(F23,Spieltag!$O$2:$AB$1576,14,0)</f>
        <v>Robin Knoche</v>
      </c>
      <c r="H23" s="118" t="str">
        <f>VLOOKUP(G23,Auswertung!$D$15:$F$1466,3,0)</f>
        <v>Union Berlin</v>
      </c>
      <c r="I23" s="119">
        <f>VLOOKUP(G23,Auswertung!$D$15:$W$1466,20,0)</f>
        <v>60</v>
      </c>
      <c r="J23" s="39">
        <v>2</v>
      </c>
      <c r="K23" s="117" t="str">
        <f>VLOOKUP(J23,Spieltag!$P$2:$AB$1576,13,0)</f>
        <v>Maxence Lacroix (A)</v>
      </c>
      <c r="L23" s="118" t="str">
        <f>VLOOKUP(K23,Auswertung!$D$15:$F$1466,3,0)</f>
        <v>Wolfsburg</v>
      </c>
      <c r="M23" s="119">
        <f>VLOOKUP(K23,Auswertung!$D$15:$W$1466,20,0)</f>
        <v>65</v>
      </c>
    </row>
    <row r="24" spans="1:13" ht="11.25" customHeight="1" x14ac:dyDescent="0.2">
      <c r="A24" s="41"/>
      <c r="B24" s="42">
        <v>3</v>
      </c>
      <c r="C24" s="117" t="str">
        <f>VLOOKUP(B24,Spieltag!$N$2:$AB$1576,15,0)</f>
        <v>Robin Koch</v>
      </c>
      <c r="D24" s="118" t="str">
        <f>VLOOKUP(C24,Auswertung!$D$15:$F$1466,3,0)</f>
        <v>Frankfurt</v>
      </c>
      <c r="E24" s="119">
        <f>VLOOKUP(C24,Auswertung!$D$15:$W$1466,20,0)</f>
        <v>45</v>
      </c>
      <c r="F24" s="27">
        <v>3</v>
      </c>
      <c r="G24" s="117" t="str">
        <f>VLOOKUP(F24,Spieltag!$O$2:$AB$1576,14,0)</f>
        <v>Niklas Süle</v>
      </c>
      <c r="H24" s="118" t="str">
        <f>VLOOKUP(G24,Auswertung!$D$15:$F$1466,3,0)</f>
        <v>Dortmund</v>
      </c>
      <c r="I24" s="119">
        <f>VLOOKUP(G24,Auswertung!$D$15:$W$1466,20,0)</f>
        <v>55</v>
      </c>
      <c r="J24" s="42">
        <v>3</v>
      </c>
      <c r="K24" s="117" t="str">
        <f>VLOOKUP(J24,Spieltag!$P$2:$AB$1576,13,0)</f>
        <v>Maximilian Wöber (A)</v>
      </c>
      <c r="L24" s="118" t="str">
        <f>VLOOKUP(K24,Auswertung!$D$15:$F$1466,3,0)</f>
        <v>M'gladbach</v>
      </c>
      <c r="M24" s="119">
        <f>VLOOKUP(K24,Auswertung!$D$15:$W$1466,20,0)</f>
        <v>0</v>
      </c>
    </row>
    <row r="25" spans="1:13" ht="11.25" customHeight="1" x14ac:dyDescent="0.2">
      <c r="A25" s="41"/>
      <c r="B25" s="42">
        <v>4</v>
      </c>
      <c r="C25" s="117" t="str">
        <f>VLOOKUP(B25,Spieltag!$N$2:$AB$1576,15,0)</f>
        <v>Min-Jae Kim (A)</v>
      </c>
      <c r="D25" s="118" t="str">
        <f>VLOOKUP(C25,Auswertung!$D$15:$F$1466,3,0)</f>
        <v>München</v>
      </c>
      <c r="E25" s="119">
        <f>VLOOKUP(C25,Auswertung!$D$15:$W$1466,20,0)</f>
        <v>75</v>
      </c>
      <c r="F25" s="27">
        <v>4</v>
      </c>
      <c r="G25" s="117" t="str">
        <f>VLOOKUP(F25,Spieltag!$O$2:$AB$1576,14,0)</f>
        <v>Robin Koch</v>
      </c>
      <c r="H25" s="118" t="str">
        <f>VLOOKUP(G25,Auswertung!$D$15:$F$1466,3,0)</f>
        <v>Frankfurt</v>
      </c>
      <c r="I25" s="119">
        <f>VLOOKUP(G25,Auswertung!$D$15:$W$1466,20,0)</f>
        <v>45</v>
      </c>
      <c r="J25" s="42">
        <v>4</v>
      </c>
      <c r="K25" s="117" t="str">
        <f>VLOOKUP(J25,Spieltag!$P$2:$AB$1576,13,0)</f>
        <v>Robin Knoche</v>
      </c>
      <c r="L25" s="118" t="str">
        <f>VLOOKUP(K25,Auswertung!$D$15:$F$1466,3,0)</f>
        <v>Union Berlin</v>
      </c>
      <c r="M25" s="119">
        <f>VLOOKUP(K25,Auswertung!$D$15:$W$1466,20,0)</f>
        <v>60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VLOOKUP(B26,Spieltag!$N$2:$AB$1576,15,0)</f>
        <v>Marco Reus</v>
      </c>
      <c r="D26" s="121" t="str">
        <f>VLOOKUP(C26,Auswertung!$D$15:$F$1466,3,0)</f>
        <v>Dortmund</v>
      </c>
      <c r="E26" s="122">
        <f>VLOOKUP(C26,Auswertung!$D$15:$W$1466,20,0)</f>
        <v>50</v>
      </c>
      <c r="F26" s="38">
        <v>5</v>
      </c>
      <c r="G26" s="120" t="str">
        <f>VLOOKUP(F26,Spieltag!$O$2:$AB$1576,14,0)</f>
        <v>Rogerio (A)</v>
      </c>
      <c r="H26" s="121" t="str">
        <f>VLOOKUP(G26,Auswertung!$D$15:$F$1466,3,0)</f>
        <v>Wolfsburg</v>
      </c>
      <c r="I26" s="122"/>
      <c r="J26" s="39">
        <v>5</v>
      </c>
      <c r="K26" s="120" t="str">
        <f>VLOOKUP(J26,Spieltag!$P$2:$AB$1576,13,0)</f>
        <v>Joshua Kimmich</v>
      </c>
      <c r="L26" s="121" t="str">
        <f>VLOOKUP(K26,Auswertung!$D$15:$F$1466,3,0)</f>
        <v>München</v>
      </c>
      <c r="M26" s="122">
        <f>VLOOKUP(K26,Auswertung!$D$15:$W$1466,20,0)</f>
        <v>80</v>
      </c>
    </row>
    <row r="27" spans="1:13" ht="11.25" customHeight="1" x14ac:dyDescent="0.2">
      <c r="A27" s="43"/>
      <c r="B27" s="39">
        <v>6</v>
      </c>
      <c r="C27" s="120" t="str">
        <f>VLOOKUP(B27,Spieltag!$N$2:$AB$1576,15,0)</f>
        <v>Yannick Gerhardt</v>
      </c>
      <c r="D27" s="121" t="str">
        <f>VLOOKUP(C27,Auswertung!$D$15:$F$1466,3,0)</f>
        <v>Wolfsburg</v>
      </c>
      <c r="E27" s="122">
        <f>VLOOKUP(C27,Auswertung!$D$15:$W$1466,20,0)</f>
        <v>50</v>
      </c>
      <c r="F27" s="38">
        <v>6</v>
      </c>
      <c r="G27" s="120" t="str">
        <f>VLOOKUP(F27,Spieltag!$O$2:$AB$1576,14,0)</f>
        <v>Marco Reus</v>
      </c>
      <c r="H27" s="121" t="str">
        <f>VLOOKUP(G27,Auswertung!$D$15:$F$1466,3,0)</f>
        <v>Dortmund</v>
      </c>
      <c r="I27" s="122">
        <f>VLOOKUP(G27,Auswertung!$D$15:$W$1466,20,0)</f>
        <v>50</v>
      </c>
      <c r="J27" s="39">
        <v>6</v>
      </c>
      <c r="K27" s="120" t="str">
        <f>VLOOKUP(J27,Spieltag!$P$2:$AB$1576,13,0)</f>
        <v>Yannick Gerhardt</v>
      </c>
      <c r="L27" s="121" t="str">
        <f>VLOOKUP(K27,Auswertung!$D$15:$F$1466,3,0)</f>
        <v>Wolfsburg</v>
      </c>
      <c r="M27" s="122">
        <f>VLOOKUP(K27,Auswertung!$D$15:$W$1466,20,0)</f>
        <v>50</v>
      </c>
    </row>
    <row r="28" spans="1:13" ht="11.25" customHeight="1" x14ac:dyDescent="0.2">
      <c r="A28" s="44"/>
      <c r="B28" s="42">
        <v>7</v>
      </c>
      <c r="C28" s="120" t="str">
        <f>VLOOKUP(B28,Spieltag!$N$2:$AB$1576,15,0)</f>
        <v>Dani Olmo (A)</v>
      </c>
      <c r="D28" s="121" t="str">
        <f>VLOOKUP(C28,Auswertung!$D$15:$F$1466,3,0)</f>
        <v>Leipzig</v>
      </c>
      <c r="E28" s="122">
        <f>VLOOKUP(C28,Auswertung!$D$15:$W$1466,20,0)</f>
        <v>10</v>
      </c>
      <c r="F28" s="27">
        <v>7</v>
      </c>
      <c r="G28" s="120" t="str">
        <f>VLOOKUP(F28,Spieltag!$O$2:$AB$1576,14,0)</f>
        <v>Yannick Gerhardt</v>
      </c>
      <c r="H28" s="121" t="str">
        <f>VLOOKUP(G28,Auswertung!$D$15:$F$1466,3,0)</f>
        <v>Wolfsburg</v>
      </c>
      <c r="I28" s="122">
        <f>VLOOKUP(G28,Auswertung!$D$15:$W$1466,20,0)</f>
        <v>50</v>
      </c>
      <c r="J28" s="42">
        <v>7</v>
      </c>
      <c r="K28" s="120" t="str">
        <f>VLOOKUP(J28,Spieltag!$P$2:$AB$1576,13,0)</f>
        <v>Marco Reus</v>
      </c>
      <c r="L28" s="121" t="str">
        <f>VLOOKUP(K28,Auswertung!$D$15:$F$1466,3,0)</f>
        <v>Dortmund</v>
      </c>
      <c r="M28" s="122">
        <f>VLOOKUP(K28,Auswertung!$D$15:$W$1466,20,0)</f>
        <v>50</v>
      </c>
    </row>
    <row r="29" spans="1:13" ht="11.25" customHeight="1" x14ac:dyDescent="0.2">
      <c r="A29" s="44"/>
      <c r="B29" s="42">
        <v>8</v>
      </c>
      <c r="C29" s="120" t="str">
        <f>VLOOKUP(B29,Spieltag!$N$2:$AB$1576,15,0)</f>
        <v>Joshua Kimmich</v>
      </c>
      <c r="D29" s="121" t="str">
        <f>VLOOKUP(C29,Auswertung!$D$15:$F$1466,3,0)</f>
        <v>München</v>
      </c>
      <c r="E29" s="122">
        <f>VLOOKUP(C29,Auswertung!$D$15:$W$1466,20,0)</f>
        <v>80</v>
      </c>
      <c r="F29" s="27">
        <v>8</v>
      </c>
      <c r="G29" s="120" t="str">
        <f>VLOOKUP(F29,Spieltag!$O$2:$AB$1576,14,0)</f>
        <v>Joshua Kimmich</v>
      </c>
      <c r="H29" s="121" t="str">
        <f>VLOOKUP(G29,Auswertung!$D$15:$F$1466,3,0)</f>
        <v>München</v>
      </c>
      <c r="I29" s="122">
        <f>VLOOKUP(G29,Auswertung!$D$15:$W$1466,20,0)</f>
        <v>80</v>
      </c>
      <c r="J29" s="42">
        <v>8</v>
      </c>
      <c r="K29" s="120" t="str">
        <f>VLOOKUP(J29,Spieltag!$P$2:$AB$1576,13,0)</f>
        <v>Julian Brandt</v>
      </c>
      <c r="L29" s="121" t="str">
        <f>VLOOKUP(K29,Auswertung!$D$15:$F$1466,3,0)</f>
        <v>Dortmund</v>
      </c>
      <c r="M29" s="122">
        <f>VLOOKUP(K29,Auswertung!$D$15:$W$1466,20,0)</f>
        <v>50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VLOOKUP(B30,Spieltag!$N$2:$AB$1576,15,0)</f>
        <v>Kevin Behrens</v>
      </c>
      <c r="D30" s="124" t="str">
        <f>VLOOKUP(C30,Auswertung!$D$15:$F$1466,3,0)</f>
        <v>Union Berlin</v>
      </c>
      <c r="E30" s="125">
        <f>VLOOKUP(C30,Auswertung!$D$15:$W$1466,20,0)</f>
        <v>120</v>
      </c>
      <c r="F30" s="38">
        <v>9</v>
      </c>
      <c r="G30" s="123" t="str">
        <f>VLOOKUP(F30,Spieltag!$O$2:$AB$1576,14,0)</f>
        <v>Tomas Cvancara (A)</v>
      </c>
      <c r="H30" s="124" t="str">
        <f>VLOOKUP(G30,Auswertung!$D$15:$F$1466,3,0)</f>
        <v>M'gladbach</v>
      </c>
      <c r="I30" s="125">
        <f>VLOOKUP(G30,Auswertung!$D$15:$W$1466,20,0)</f>
        <v>20</v>
      </c>
      <c r="J30" s="39">
        <v>9</v>
      </c>
      <c r="K30" s="123" t="str">
        <f>VLOOKUP(J30,Spieltag!$P$2:$AB$1576,13,0)</f>
        <v>Serge Gnabry</v>
      </c>
      <c r="L30" s="124" t="str">
        <f>VLOOKUP(K30,Auswertung!$D$15:$F$1466,3,0)</f>
        <v>München</v>
      </c>
      <c r="M30" s="125">
        <f>VLOOKUP(K30,Auswertung!$D$15:$W$1466,20,0)</f>
        <v>0</v>
      </c>
    </row>
    <row r="31" spans="1:13" ht="11.25" customHeight="1" x14ac:dyDescent="0.2">
      <c r="A31" s="46"/>
      <c r="B31" s="42">
        <v>10</v>
      </c>
      <c r="C31" s="123" t="str">
        <f>VLOOKUP(B31,Spieltag!$N$2:$AB$1576,15,0)</f>
        <v>Andrej Kramaric (A)</v>
      </c>
      <c r="D31" s="124" t="str">
        <f>VLOOKUP(C31,Auswertung!$D$15:$F$1466,3,0)</f>
        <v>Hoffenheim</v>
      </c>
      <c r="E31" s="125">
        <f>VLOOKUP(C31,Auswertung!$D$15:$W$1466,20,0)</f>
        <v>0</v>
      </c>
      <c r="F31" s="27">
        <v>10</v>
      </c>
      <c r="G31" s="123" t="str">
        <f>VLOOKUP(F31,Spieltag!$O$2:$AB$1576,14,0)</f>
        <v>Kevin Behrens</v>
      </c>
      <c r="H31" s="124" t="str">
        <f>VLOOKUP(G31,Auswertung!$D$15:$F$1466,3,0)</f>
        <v>Union Berlin</v>
      </c>
      <c r="I31" s="125">
        <f>VLOOKUP(G31,Auswertung!$D$15:$W$1466,20,0)</f>
        <v>120</v>
      </c>
      <c r="J31" s="42">
        <v>10</v>
      </c>
      <c r="K31" s="123" t="str">
        <f>VLOOKUP(J31,Spieltag!$P$2:$AB$1576,13,0)</f>
        <v>Randal Kolo Muani (A)</v>
      </c>
      <c r="L31" s="124" t="str">
        <f>VLOOKUP(K31,Auswertung!$D$15:$F$1466,3,0)</f>
        <v>Frankfurt</v>
      </c>
      <c r="M31" s="125">
        <f>VLOOKUP(K31,Auswertung!$D$15:$W$1466,20,0)</f>
        <v>55</v>
      </c>
    </row>
    <row r="32" spans="1:13" ht="11.25" customHeight="1" thickBot="1" x14ac:dyDescent="0.25">
      <c r="A32" s="46"/>
      <c r="B32" s="42">
        <v>11</v>
      </c>
      <c r="C32" s="123" t="str">
        <f>VLOOKUP(B32,Spieltag!$N$2:$AB$1576,15,0)</f>
        <v>Victor Boniface (A)</v>
      </c>
      <c r="D32" s="124" t="str">
        <f>VLOOKUP(C32,Auswertung!$D$15:$F$1466,3,0)</f>
        <v>Leverkusen</v>
      </c>
      <c r="E32" s="125">
        <f>VLOOKUP(C32,Auswertung!$D$15:$W$1466,20,0)</f>
        <v>30</v>
      </c>
      <c r="F32" s="27">
        <v>11</v>
      </c>
      <c r="G32" s="123" t="str">
        <f>VLOOKUP(F32,Spieltag!$O$2:$AB$1576,14,0)</f>
        <v>Randal Kolo Muani (A)</v>
      </c>
      <c r="H32" s="124" t="str">
        <f>VLOOKUP(G32,Auswertung!$D$15:$F$1466,3,0)</f>
        <v>Frankfurt</v>
      </c>
      <c r="I32" s="125">
        <f>VLOOKUP(G32,Auswertung!$D$15:$W$1466,20,0)</f>
        <v>55</v>
      </c>
      <c r="J32" s="42">
        <v>11</v>
      </c>
      <c r="K32" s="123" t="str">
        <f>VLOOKUP(J32,Spieltag!$P$2:$AB$1576,13,0)</f>
        <v>Kevin Behrens</v>
      </c>
      <c r="L32" s="124" t="str">
        <f>VLOOKUP(K32,Auswertung!$D$15:$F$1466,3,0)</f>
        <v>Union Berlin</v>
      </c>
      <c r="M32" s="125">
        <f>VLOOKUP(K32,Auswertung!$D$15:$W$1466,20,0)</f>
        <v>120</v>
      </c>
    </row>
    <row r="33" spans="1:13" ht="11.25" customHeight="1" thickBot="1" x14ac:dyDescent="0.25">
      <c r="C33" s="48"/>
      <c r="E33" s="47">
        <f>SUM(E22:E32)</f>
        <v>575</v>
      </c>
      <c r="G33" s="48" t="s">
        <v>674</v>
      </c>
      <c r="I33" s="52">
        <f>SUM(I22:I32)</f>
        <v>625</v>
      </c>
      <c r="K33" s="48"/>
      <c r="L33" s="28"/>
      <c r="M33" s="52">
        <f>SUM(M22:M32)</f>
        <v>590</v>
      </c>
    </row>
    <row r="34" spans="1:13" ht="11.25" customHeight="1" x14ac:dyDescent="0.2">
      <c r="C34" s="28"/>
      <c r="G34" s="48" t="s">
        <v>675</v>
      </c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32</v>
      </c>
      <c r="E37" s="32" t="s">
        <v>6</v>
      </c>
      <c r="F37" s="29"/>
      <c r="G37" s="30" t="s">
        <v>92</v>
      </c>
      <c r="H37" s="31">
        <f>[2]Markus!$B$3</f>
        <v>32</v>
      </c>
      <c r="I37" s="32" t="s">
        <v>6</v>
      </c>
      <c r="J37" s="29"/>
      <c r="K37" s="30" t="s">
        <v>92</v>
      </c>
      <c r="L37" s="31">
        <f>[2]Rainer!$B$3</f>
        <v>32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VLOOKUP(B39,Spieltag!$Q$2:$AB$1576,12,0)</f>
        <v>Kevin Trapp</v>
      </c>
      <c r="D39" s="115" t="str">
        <f>VLOOKUP(C39,Auswertung!$D$15:$F$1466,3,0)</f>
        <v>Frankfurt</v>
      </c>
      <c r="E39" s="116">
        <f>VLOOKUP(C39,Auswertung!$D$15:$W$1466,20,0)</f>
        <v>60</v>
      </c>
      <c r="F39" s="39">
        <v>1</v>
      </c>
      <c r="G39" s="114" t="str">
        <f>VLOOKUP(F39,Spieltag!$R$2:$AB$1576,11,0)</f>
        <v>Kevin Trapp</v>
      </c>
      <c r="H39" s="115" t="str">
        <f>VLOOKUP(G39,Auswertung!$D$15:$F$1466,3,0)</f>
        <v>Frankfurt</v>
      </c>
      <c r="I39" s="116">
        <f>VLOOKUP(G39,Auswertung!$D$15:$W$1466,20,0)</f>
        <v>60</v>
      </c>
      <c r="J39" s="38">
        <v>1</v>
      </c>
      <c r="K39" s="114" t="str">
        <f>VLOOKUP(J39,Spieltag!$S$2:$AB$1576,10,0)</f>
        <v>Kevin Trapp</v>
      </c>
      <c r="L39" s="115" t="str">
        <f>VLOOKUP(K39,Auswertung!$D$15:$F$1466,3,0)</f>
        <v>Frankfurt</v>
      </c>
      <c r="M39" s="116">
        <f>VLOOKUP(K39,Auswertung!$D$15:$W$1466,20,0)</f>
        <v>60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VLOOKUP(B40,Spieltag!$Q$2:$AB$1576,12,0)</f>
        <v>John Anthony Brooks</v>
      </c>
      <c r="D40" s="118" t="str">
        <f>VLOOKUP(C40,Auswertung!$D$15:$F$1466,3,0)</f>
        <v>Hoffenheim</v>
      </c>
      <c r="E40" s="119">
        <f>VLOOKUP(C40,Auswertung!$D$15:$W$1466,20,0)</f>
        <v>0</v>
      </c>
      <c r="F40" s="39">
        <v>2</v>
      </c>
      <c r="G40" s="117" t="str">
        <f>VLOOKUP(F40,Spieltag!$R$2:$AB$1576,11,0)</f>
        <v>Matthias Ginter</v>
      </c>
      <c r="H40" s="118" t="str">
        <f>VLOOKUP(G40,Auswertung!$D$15:$F$1466,3,0)</f>
        <v>Freiburg</v>
      </c>
      <c r="I40" s="119">
        <f>VLOOKUP(G40,Auswertung!$D$15:$W$1466,20,0)</f>
        <v>40</v>
      </c>
      <c r="J40" s="38">
        <v>2</v>
      </c>
      <c r="K40" s="117" t="str">
        <f>VLOOKUP(J40,Spieltag!$S$2:$AB$1576,10,0)</f>
        <v>Kevin Vogt</v>
      </c>
      <c r="L40" s="118" t="str">
        <f>VLOOKUP(K40,Auswertung!$D$15:$F$1466,3,0)</f>
        <v>Hoffenheim</v>
      </c>
      <c r="M40" s="119">
        <f>VLOOKUP(K40,Auswertung!$D$15:$W$1466,20,0)</f>
        <v>0</v>
      </c>
    </row>
    <row r="41" spans="1:13" ht="11.25" customHeight="1" x14ac:dyDescent="0.2">
      <c r="A41" s="41"/>
      <c r="B41" s="42">
        <v>3</v>
      </c>
      <c r="C41" s="117" t="str">
        <f>VLOOKUP(B41,Spieltag!$Q$2:$AB$1576,12,0)</f>
        <v>Maxence Lacroix (A)</v>
      </c>
      <c r="D41" s="118" t="str">
        <f>VLOOKUP(C41,Auswertung!$D$15:$F$1466,3,0)</f>
        <v>Wolfsburg</v>
      </c>
      <c r="E41" s="119">
        <f>VLOOKUP(C41,Auswertung!$D$15:$W$1466,20,0)</f>
        <v>65</v>
      </c>
      <c r="F41" s="42">
        <v>3</v>
      </c>
      <c r="G41" s="117" t="str">
        <f>VLOOKUP(F41,Spieltag!$R$2:$AB$1576,11,0)</f>
        <v>Philipp Max</v>
      </c>
      <c r="H41" s="118" t="str">
        <f>VLOOKUP(G41,Auswertung!$D$15:$F$1466,3,0)</f>
        <v>Frankfurt</v>
      </c>
      <c r="I41" s="119">
        <f>VLOOKUP(G41,Auswertung!$D$15:$W$1466,20,0)</f>
        <v>55</v>
      </c>
      <c r="J41" s="27">
        <v>3</v>
      </c>
      <c r="K41" s="117" t="str">
        <f>VLOOKUP(J41,Spieltag!$S$2:$AB$1576,10,0)</f>
        <v>Cedric Zesiger (A)</v>
      </c>
      <c r="L41" s="118" t="str">
        <f>VLOOKUP(K41,Auswertung!$D$15:$F$1466,3,0)</f>
        <v>Wolfsburg</v>
      </c>
      <c r="M41" s="119">
        <f>VLOOKUP(K41,Auswertung!$D$15:$W$1466,20,0)</f>
        <v>65</v>
      </c>
    </row>
    <row r="42" spans="1:13" ht="11.25" customHeight="1" x14ac:dyDescent="0.2">
      <c r="A42" s="41"/>
      <c r="B42" s="42">
        <v>4</v>
      </c>
      <c r="C42" s="117" t="str">
        <f>VLOOKUP(B42,Spieltag!$Q$2:$AB$1576,12,0)</f>
        <v>Robin Knoche</v>
      </c>
      <c r="D42" s="118" t="str">
        <f>VLOOKUP(C42,Auswertung!$D$15:$F$1466,3,0)</f>
        <v>Union Berlin</v>
      </c>
      <c r="E42" s="119">
        <f>VLOOKUP(C42,Auswertung!$D$15:$W$1466,20,0)</f>
        <v>60</v>
      </c>
      <c r="F42" s="42">
        <v>4</v>
      </c>
      <c r="G42" s="117" t="str">
        <f>VLOOKUP(F42,Spieltag!$R$2:$AB$1576,11,0)</f>
        <v>Robin Knoche</v>
      </c>
      <c r="H42" s="118" t="str">
        <f>VLOOKUP(G42,Auswertung!$D$15:$F$1466,3,0)</f>
        <v>Union Berlin</v>
      </c>
      <c r="I42" s="119">
        <f>VLOOKUP(G42,Auswertung!$D$15:$W$1466,20,0)</f>
        <v>60</v>
      </c>
      <c r="J42" s="27">
        <v>4</v>
      </c>
      <c r="K42" s="117" t="str">
        <f>VLOOKUP(J42,Spieltag!$S$2:$AB$1576,10,0)</f>
        <v>Ko Itakura (A)</v>
      </c>
      <c r="L42" s="118" t="str">
        <f>VLOOKUP(K42,Auswertung!$D$15:$F$1466,3,0)</f>
        <v>M'gladbach</v>
      </c>
      <c r="M42" s="119">
        <f>VLOOKUP(K42,Auswertung!$D$15:$W$1466,20,0)</f>
        <v>15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VLOOKUP(B43,Spieltag!$Q$2:$AB$1576,12,0)</f>
        <v>Yannick Gerhardt</v>
      </c>
      <c r="D43" s="121" t="str">
        <f>VLOOKUP(C43,Auswertung!$D$15:$F$1466,3,0)</f>
        <v>Wolfsburg</v>
      </c>
      <c r="E43" s="122">
        <f>VLOOKUP(C43,Auswertung!$D$15:$W$1466,20,0)</f>
        <v>50</v>
      </c>
      <c r="F43" s="39">
        <v>5</v>
      </c>
      <c r="G43" s="120" t="str">
        <f>VLOOKUP(F43,Spieltag!$R$2:$AB$1576,11,0)</f>
        <v>Jonas Hofmann</v>
      </c>
      <c r="H43" s="121" t="str">
        <f>VLOOKUP(G43,Auswertung!$D$15:$F$1466,3,0)</f>
        <v>Leverkusen</v>
      </c>
      <c r="I43" s="122">
        <f>VLOOKUP(G43,Auswertung!$D$15:$W$1466,20,0)</f>
        <v>40</v>
      </c>
      <c r="J43" s="38">
        <v>5</v>
      </c>
      <c r="K43" s="120" t="str">
        <f>VLOOKUP(J43,Spieltag!$S$2:$AB$1576,10,0)</f>
        <v>Joshua Kimmich</v>
      </c>
      <c r="L43" s="121" t="str">
        <f>VLOOKUP(K43,Auswertung!$D$15:$F$1466,3,0)</f>
        <v>München</v>
      </c>
      <c r="M43" s="122">
        <f>VLOOKUP(K43,Auswertung!$D$15:$W$1466,20,0)</f>
        <v>80</v>
      </c>
    </row>
    <row r="44" spans="1:13" ht="11.25" customHeight="1" x14ac:dyDescent="0.2">
      <c r="A44" s="43"/>
      <c r="B44" s="39">
        <v>6</v>
      </c>
      <c r="C44" s="120" t="str">
        <f>VLOOKUP(B44,Spieltag!$Q$2:$AB$1576,12,0)</f>
        <v>Jamal Musiala</v>
      </c>
      <c r="D44" s="121" t="str">
        <f>VLOOKUP(C44,Auswertung!$D$15:$F$1466,3,0)</f>
        <v>München</v>
      </c>
      <c r="E44" s="122">
        <f>VLOOKUP(C44,Auswertung!$D$15:$W$1466,20,0)</f>
        <v>80</v>
      </c>
      <c r="F44" s="39">
        <v>6</v>
      </c>
      <c r="G44" s="120" t="str">
        <f>VLOOKUP(F44,Spieltag!$R$2:$AB$1576,11,0)</f>
        <v>Florian Wirtz</v>
      </c>
      <c r="H44" s="121" t="str">
        <f>VLOOKUP(G44,Auswertung!$D$15:$F$1466,3,0)</f>
        <v>Leverkusen</v>
      </c>
      <c r="I44" s="122">
        <f>VLOOKUP(G44,Auswertung!$D$15:$W$1466,20,0)</f>
        <v>50</v>
      </c>
      <c r="J44" s="38">
        <v>6</v>
      </c>
      <c r="K44" s="120" t="str">
        <f>VLOOKUP(J44,Spieltag!$S$2:$AB$1576,10,0)</f>
        <v>Emre Can</v>
      </c>
      <c r="L44" s="121" t="str">
        <f>VLOOKUP(K44,Auswertung!$D$15:$F$1466,3,0)</f>
        <v>Dortmund</v>
      </c>
      <c r="M44" s="122">
        <f>VLOOKUP(K44,Auswertung!$D$15:$W$1466,20,0)</f>
        <v>50</v>
      </c>
    </row>
    <row r="45" spans="1:13" ht="11.25" customHeight="1" x14ac:dyDescent="0.2">
      <c r="A45" s="44"/>
      <c r="B45" s="42">
        <v>7</v>
      </c>
      <c r="C45" s="120" t="str">
        <f>VLOOKUP(B45,Spieltag!$Q$2:$AB$1576,12,0)</f>
        <v>Julian Brandt</v>
      </c>
      <c r="D45" s="121" t="str">
        <f>VLOOKUP(C45,Auswertung!$D$15:$F$1466,3,0)</f>
        <v>Dortmund</v>
      </c>
      <c r="E45" s="122">
        <f>VLOOKUP(C45,Auswertung!$D$15:$W$1466,20,0)</f>
        <v>50</v>
      </c>
      <c r="F45" s="42">
        <v>7</v>
      </c>
      <c r="G45" s="120" t="str">
        <f>VLOOKUP(F45,Spieltag!$R$2:$AB$1576,11,0)</f>
        <v>Vincenzo Grifo</v>
      </c>
      <c r="H45" s="121" t="str">
        <f>VLOOKUP(G45,Auswertung!$D$15:$F$1466,3,0)</f>
        <v>Freiburg</v>
      </c>
      <c r="I45" s="122">
        <f>VLOOKUP(G45,Auswertung!$D$15:$W$1466,20,0)</f>
        <v>40</v>
      </c>
      <c r="J45" s="27">
        <v>7</v>
      </c>
      <c r="K45" s="120" t="str">
        <f>VLOOKUP(J45,Spieltag!$S$2:$AB$1576,10,0)</f>
        <v>Rani Khedira</v>
      </c>
      <c r="L45" s="121" t="str">
        <f>VLOOKUP(K45,Auswertung!$D$15:$F$1466,3,0)</f>
        <v>Union Berlin</v>
      </c>
      <c r="M45" s="122">
        <f>VLOOKUP(K45,Auswertung!$D$15:$W$1466,20,0)</f>
        <v>0</v>
      </c>
    </row>
    <row r="46" spans="1:13" ht="11.25" customHeight="1" x14ac:dyDescent="0.2">
      <c r="A46" s="44"/>
      <c r="B46" s="42">
        <v>8</v>
      </c>
      <c r="C46" s="120" t="str">
        <f>VLOOKUP(B46,Spieltag!$Q$2:$AB$1576,12,0)</f>
        <v>Marco Reus</v>
      </c>
      <c r="D46" s="121" t="str">
        <f>VLOOKUP(C46,Auswertung!$D$15:$F$1466,3,0)</f>
        <v>Dortmund</v>
      </c>
      <c r="E46" s="122">
        <f>VLOOKUP(C46,Auswertung!$D$15:$W$1466,20,0)</f>
        <v>50</v>
      </c>
      <c r="F46" s="42">
        <v>8</v>
      </c>
      <c r="G46" s="120" t="str">
        <f>VLOOKUP(F46,Spieltag!$R$2:$AB$1576,11,0)</f>
        <v>Julian Brandt</v>
      </c>
      <c r="H46" s="121" t="str">
        <f>VLOOKUP(G46,Auswertung!$D$15:$F$1466,3,0)</f>
        <v>Dortmund</v>
      </c>
      <c r="I46" s="122">
        <f>VLOOKUP(G46,Auswertung!$D$15:$W$1466,20,0)</f>
        <v>50</v>
      </c>
      <c r="J46" s="27">
        <v>8</v>
      </c>
      <c r="K46" s="120" t="str">
        <f>VLOOKUP(J46,Spieltag!$S$2:$AB$1576,10,0)</f>
        <v>Jonas Hofmann</v>
      </c>
      <c r="L46" s="121" t="str">
        <f>VLOOKUP(K46,Auswertung!$D$15:$F$1466,3,0)</f>
        <v>Leverkusen</v>
      </c>
      <c r="M46" s="122">
        <f>VLOOKUP(K46,Auswertung!$D$15:$W$1466,20,0)</f>
        <v>40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VLOOKUP(B47,Spieltag!$Q$2:$AB$1576,12,0)</f>
        <v>Serge Gnabry</v>
      </c>
      <c r="D47" s="124" t="str">
        <f>VLOOKUP(C47,Auswertung!$D$15:$F$1466,3,0)</f>
        <v>München</v>
      </c>
      <c r="E47" s="125">
        <f>VLOOKUP(C47,Auswertung!$D$15:$W$1466,20,0)</f>
        <v>0</v>
      </c>
      <c r="F47" s="39">
        <v>9</v>
      </c>
      <c r="G47" s="123" t="str">
        <f>VLOOKUP(F47,Spieltag!$R$2:$AB$1576,11,0)</f>
        <v>Serge Gnabry</v>
      </c>
      <c r="H47" s="124" t="str">
        <f>VLOOKUP(G47,Auswertung!$D$15:$F$1466,3,0)</f>
        <v>München</v>
      </c>
      <c r="I47" s="125">
        <f>VLOOKUP(G47,Auswertung!$D$15:$W$1466,20,0)</f>
        <v>0</v>
      </c>
      <c r="J47" s="38">
        <v>9</v>
      </c>
      <c r="K47" s="123" t="str">
        <f>VLOOKUP(J47,Spieltag!$S$2:$AB$1576,10,0)</f>
        <v>Eric-Maxim Choupo-Moting</v>
      </c>
      <c r="L47" s="124" t="str">
        <f>VLOOKUP(K47,Auswertung!$D$15:$F$1466,3,0)</f>
        <v>München</v>
      </c>
      <c r="M47" s="125">
        <f>VLOOKUP(K47,Auswertung!$D$15:$W$1466,20,0)</f>
        <v>75</v>
      </c>
    </row>
    <row r="48" spans="1:13" ht="11.25" customHeight="1" x14ac:dyDescent="0.2">
      <c r="A48" s="46"/>
      <c r="B48" s="42">
        <v>10</v>
      </c>
      <c r="C48" s="123" t="str">
        <f>VLOOKUP(B48,Spieltag!$Q$2:$AB$1576,12,0)</f>
        <v>Kevin Behrens</v>
      </c>
      <c r="D48" s="124" t="str">
        <f>VLOOKUP(C48,Auswertung!$D$15:$F$1466,3,0)</f>
        <v>Union Berlin</v>
      </c>
      <c r="E48" s="125">
        <f>VLOOKUP(C48,Auswertung!$D$15:$W$1466,20,0)</f>
        <v>120</v>
      </c>
      <c r="F48" s="42">
        <v>10</v>
      </c>
      <c r="G48" s="123" t="str">
        <f>VLOOKUP(F48,Spieltag!$R$2:$AB$1576,11,0)</f>
        <v>Leroy Sane</v>
      </c>
      <c r="H48" s="124" t="str">
        <f>VLOOKUP(G48,Auswertung!$D$15:$F$1466,3,0)</f>
        <v>München</v>
      </c>
      <c r="I48" s="125">
        <f>VLOOKUP(G48,Auswertung!$D$15:$W$1466,20,0)</f>
        <v>105</v>
      </c>
      <c r="J48" s="27">
        <v>10</v>
      </c>
      <c r="K48" s="123" t="str">
        <f>VLOOKUP(J48,Spieltag!$S$2:$AB$1576,10,0)</f>
        <v>Sebastien Haller (A)</v>
      </c>
      <c r="L48" s="124" t="str">
        <f>VLOOKUP(K48,Auswertung!$D$15:$F$1466,3,0)</f>
        <v>Dortmund</v>
      </c>
      <c r="M48" s="125">
        <f>VLOOKUP(K48,Auswertung!$D$15:$W$1466,20,0)</f>
        <v>45</v>
      </c>
    </row>
    <row r="49" spans="1:13" ht="11.25" customHeight="1" thickBot="1" x14ac:dyDescent="0.25">
      <c r="A49" s="46"/>
      <c r="B49" s="42">
        <v>11</v>
      </c>
      <c r="C49" s="123" t="str">
        <f>VLOOKUP(B49,Spieltag!$Q$2:$AB$1576,12,0)</f>
        <v>Randal Kolo Muani (A)</v>
      </c>
      <c r="D49" s="124" t="str">
        <f>VLOOKUP(C49,Auswertung!$D$15:$F$1466,3,0)</f>
        <v>Frankfurt</v>
      </c>
      <c r="E49" s="125">
        <f>VLOOKUP(C49,Auswertung!$D$15:$W$1466,20,0)</f>
        <v>55</v>
      </c>
      <c r="F49" s="42">
        <v>11</v>
      </c>
      <c r="G49" s="123" t="str">
        <f>VLOOKUP(F49,Spieltag!$R$2:$AB$1576,11,0)</f>
        <v>Donyell Malen (A)</v>
      </c>
      <c r="H49" s="124" t="str">
        <f>VLOOKUP(G49,Auswertung!$D$15:$F$1466,3,0)</f>
        <v>Dortmund</v>
      </c>
      <c r="I49" s="125">
        <f>VLOOKUP(G49,Auswertung!$D$15:$W$1466,20,0)</f>
        <v>45</v>
      </c>
      <c r="J49" s="27">
        <v>11</v>
      </c>
      <c r="K49" s="123" t="str">
        <f>VLOOKUP(J49,Spieltag!$S$2:$AB$1576,10,0)</f>
        <v>Randal Kolo Muani (A)</v>
      </c>
      <c r="L49" s="124" t="str">
        <f>VLOOKUP(K49,Auswertung!$D$15:$F$1466,3,0)</f>
        <v>Frankfurt</v>
      </c>
      <c r="M49" s="125">
        <f>VLOOKUP(K49,Auswertung!$D$15:$W$1466,20,0)</f>
        <v>55</v>
      </c>
    </row>
    <row r="50" spans="1:13" ht="11.25" customHeight="1" thickBot="1" x14ac:dyDescent="0.25">
      <c r="C50" s="48"/>
      <c r="D50" s="28"/>
      <c r="E50" s="52">
        <f>SUM(E39:E49)</f>
        <v>590</v>
      </c>
      <c r="G50" s="48"/>
      <c r="I50" s="52">
        <f>SUM(I39:I49)</f>
        <v>545</v>
      </c>
      <c r="K50" s="208"/>
      <c r="L50" s="208"/>
      <c r="M50" s="52">
        <f>SUM(M39:M49)</f>
        <v>485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H904" sqref="H904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Bremen</v>
      </c>
      <c r="C5" s="81" t="str">
        <f>Auswertung!$E$1</f>
        <v>München</v>
      </c>
      <c r="E5" s="82">
        <f>IF(('[1]1. Spieltag'!D5=""),"",('[1]1. Spieltag'!D5))</f>
        <v>0</v>
      </c>
      <c r="F5" s="83">
        <f>IF(('[1]1. Spieltag'!E5=""),"",('[1]1. Spieltag'!E5))</f>
        <v>4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60</v>
      </c>
      <c r="I5" s="82">
        <f>IF(('[1]1. Spieltag'!H5=""),"",('[1]1. Spieltag'!H5))</f>
        <v>0</v>
      </c>
      <c r="J5" s="83">
        <f>IF(('[1]1. Spieltag'!I5=""),"",('[1]1. Spieltag'!I5))</f>
        <v>3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IF(('[1]1. Spieltag'!L5=""),"",('[1]1. Spieltag'!L5))</f>
        <v>1</v>
      </c>
      <c r="N5" s="83">
        <f>IF(('[1]1. Spieltag'!M5=""),"",('[1]1. Spieltag'!M5))</f>
        <v>4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IF(('[1]1. Spieltag'!P5=""),"",('[1]1. Spieltag'!P5))</f>
        <v>0</v>
      </c>
      <c r="R5" s="83">
        <f>IF(('[1]1. Spieltag'!Q5=""),"",('[1]1. Spieltag'!Q5))</f>
        <v>4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60</v>
      </c>
      <c r="U5" s="82">
        <f>IF(('[1]1. Spieltag'!T5=""),"",('[1]1. Spieltag'!T5))</f>
        <v>1</v>
      </c>
      <c r="V5" s="83">
        <f>IF(('[1]1. Spieltag'!U5=""),"",('[1]1. Spieltag'!U5))</f>
        <v>4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Dortmund</v>
      </c>
      <c r="C6" s="87" t="str">
        <f>Auswertung!$E$2</f>
        <v>Köln</v>
      </c>
      <c r="E6" s="82">
        <f>IF(('[1]1. Spieltag'!D6=""),"",('[1]1. Spieltag'!D6))</f>
        <v>2</v>
      </c>
      <c r="F6" s="83">
        <f>IF(('[1]1. Spieltag'!E6=""),"",('[1]1.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40</v>
      </c>
      <c r="I6" s="82">
        <f>IF(('[1]1. Spieltag'!H6=""),"",('[1]1. Spieltag'!H6))</f>
        <v>2</v>
      </c>
      <c r="J6" s="83">
        <f>IF(('[1]1. Spieltag'!I6=""),"",('[1]1. Spieltag'!I6))</f>
        <v>0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IF(('[1]1. Spieltag'!L6=""),"",('[1]1. Spieltag'!L6))</f>
        <v>2</v>
      </c>
      <c r="N6" s="83">
        <f>IF(('[1]1. Spieltag'!M6=""),"",('[1]1. Spieltag'!M6))</f>
        <v>0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IF(('[1]1. Spieltag'!P6=""),"",('[1]1. Spieltag'!P6))</f>
        <v>2</v>
      </c>
      <c r="R6" s="83">
        <f>IF(('[1]1. Spieltag'!Q6=""),"",('[1]1.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40</v>
      </c>
      <c r="U6" s="82">
        <f>IF(('[1]1. Spieltag'!T6=""),"",('[1]1. Spieltag'!T6))</f>
        <v>2</v>
      </c>
      <c r="V6" s="83">
        <f>IF(('[1]1. Spieltag'!U6=""),"",('[1]1. Spieltag'!U6))</f>
        <v>0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Union Berlin</v>
      </c>
      <c r="C7" s="87" t="str">
        <f>Auswertung!$E$3</f>
        <v>Mainz</v>
      </c>
      <c r="E7" s="82">
        <f>IF(('[1]1. Spieltag'!D7=""),"",('[1]1. Spieltag'!D7))</f>
        <v>2</v>
      </c>
      <c r="F7" s="83">
        <f>IF(('[1]1. Spieltag'!E7=""),"",('[1]1. Spieltag'!E7))</f>
        <v>0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IF(('[1]1. Spieltag'!H7=""),"",('[1]1. Spieltag'!H7))</f>
        <v>2</v>
      </c>
      <c r="J7" s="83">
        <f>IF(('[1]1. Spieltag'!I7=""),"",('[1]1.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IF(('[1]1. Spieltag'!L7=""),"",('[1]1. Spieltag'!L7))</f>
        <v>2</v>
      </c>
      <c r="N7" s="83">
        <f>IF(('[1]1. Spieltag'!M7=""),"",('[1]1.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IF(('[1]1. Spieltag'!P7=""),"",('[1]1. Spieltag'!P7))</f>
        <v>2</v>
      </c>
      <c r="R7" s="83">
        <f>IF(('[1]1. Spieltag'!Q7=""),"",('[1]1. Spieltag'!Q7))</f>
        <v>0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IF(('[1]1. Spieltag'!T7=""),"",('[1]1. Spieltag'!T7))</f>
        <v>2</v>
      </c>
      <c r="V7" s="83">
        <f>IF(('[1]1. Spieltag'!U7=""),"",('[1]1.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Leverkusen</v>
      </c>
      <c r="C8" s="87" t="str">
        <f>Auswertung!$E$4</f>
        <v>Leipzig</v>
      </c>
      <c r="E8" s="82">
        <f>IF(('[1]1. Spieltag'!D8=""),"",('[1]1. Spieltag'!D8))</f>
        <v>2</v>
      </c>
      <c r="F8" s="83">
        <f>IF(('[1]1. Spieltag'!E8=""),"",('[1]1. Spieltag'!E8))</f>
        <v>2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IF(('[1]1. Spieltag'!H8=""),"",('[1]1. Spieltag'!H8))</f>
        <v>1</v>
      </c>
      <c r="J8" s="83">
        <f>IF(('[1]1. Spieltag'!I8=""),"",('[1]1.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IF(('[1]1. Spieltag'!L8=""),"",('[1]1. Spieltag'!L8))</f>
        <v>2</v>
      </c>
      <c r="N8" s="83">
        <f>IF(('[1]1. Spieltag'!M8=""),"",('[1]1. Spieltag'!M8))</f>
        <v>2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IF(('[1]1. Spieltag'!P8=""),"",('[1]1. Spieltag'!P8))</f>
        <v>2</v>
      </c>
      <c r="R8" s="83">
        <f>IF(('[1]1. Spieltag'!Q8=""),"",('[1]1. Spieltag'!Q8))</f>
        <v>2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IF(('[1]1. Spieltag'!T8=""),"",('[1]1. Spieltag'!T8))</f>
        <v>2</v>
      </c>
      <c r="V8" s="83">
        <f>IF(('[1]1. Spieltag'!U8=""),"",('[1]1. Spieltag'!U8))</f>
        <v>2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Frankfurt</v>
      </c>
      <c r="C9" s="87" t="str">
        <f>Auswertung!$E$5</f>
        <v>Darmstadt</v>
      </c>
      <c r="E9" s="82">
        <f>IF(('[1]1. Spieltag'!D9=""),"",('[1]1. Spieltag'!D9))</f>
        <v>4</v>
      </c>
      <c r="F9" s="83">
        <f>IF(('[1]1. Spieltag'!E9=""),"",('[1]1.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20</v>
      </c>
      <c r="I9" s="82">
        <f>IF(('[1]1. Spieltag'!H9=""),"",('[1]1. Spieltag'!H9))</f>
        <v>2</v>
      </c>
      <c r="J9" s="83">
        <f>IF(('[1]1. Spieltag'!I9=""),"",('[1]1.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40</v>
      </c>
      <c r="M9" s="82">
        <f>IF(('[1]1. Spieltag'!L9=""),"",('[1]1. Spieltag'!L9))</f>
        <v>3</v>
      </c>
      <c r="N9" s="83">
        <f>IF(('[1]1. Spieltag'!M9=""),"",('[1]1.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20</v>
      </c>
      <c r="Q9" s="82">
        <f>IF(('[1]1. Spieltag'!P9=""),"",('[1]1. Spieltag'!P9))</f>
        <v>4</v>
      </c>
      <c r="R9" s="83">
        <f>IF(('[1]1. Spieltag'!Q9=""),"",('[1]1.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20</v>
      </c>
      <c r="U9" s="82">
        <f>IF(('[1]1. Spieltag'!T9=""),"",('[1]1. Spieltag'!T9))</f>
        <v>2</v>
      </c>
      <c r="V9" s="83">
        <f>IF(('[1]1. Spieltag'!U9=""),"",('[1]1. Spieltag'!U9))</f>
        <v>0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20</v>
      </c>
    </row>
    <row r="10" spans="1:30" ht="11.25" customHeight="1" x14ac:dyDescent="0.2">
      <c r="A10" s="85"/>
      <c r="B10" s="86" t="str">
        <f>Auswertung!$D$6</f>
        <v>Wolfsburg</v>
      </c>
      <c r="C10" s="87" t="str">
        <f>Auswertung!$E$6</f>
        <v>Heidenheim</v>
      </c>
      <c r="E10" s="82">
        <f>IF(('[1]1. Spieltag'!D10=""),"",('[1]1. Spieltag'!D10))</f>
        <v>1</v>
      </c>
      <c r="F10" s="83">
        <f>IF(('[1]1. Spieltag'!E10=""),"",('[1]1.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IF(('[1]1. Spieltag'!H10=""),"",('[1]1. Spieltag'!H10))</f>
        <v>3</v>
      </c>
      <c r="J10" s="83">
        <f>IF(('[1]1. Spieltag'!I10=""),"",('[1]1.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20</v>
      </c>
      <c r="M10" s="82">
        <f>IF(('[1]1. Spieltag'!L10=""),"",('[1]1. Spieltag'!L10))</f>
        <v>2</v>
      </c>
      <c r="N10" s="83">
        <f>IF(('[1]1. Spieltag'!M10=""),"",('[1]1. Spieltag'!M10))</f>
        <v>0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60</v>
      </c>
      <c r="Q10" s="82">
        <f>IF(('[1]1. Spieltag'!P10=""),"",('[1]1. Spieltag'!P10))</f>
        <v>1</v>
      </c>
      <c r="R10" s="83">
        <f>IF(('[1]1. Spieltag'!Q10=""),"",('[1]1.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IF(('[1]1. Spieltag'!T10=""),"",('[1]1. Spieltag'!T10))</f>
        <v>3</v>
      </c>
      <c r="V10" s="83">
        <f>IF(('[1]1. Spieltag'!U10=""),"",('[1]1. Spieltag'!U10))</f>
        <v>0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20</v>
      </c>
    </row>
    <row r="11" spans="1:30" ht="11.25" customHeight="1" x14ac:dyDescent="0.2">
      <c r="A11" s="85"/>
      <c r="B11" s="86" t="str">
        <f>Auswertung!$D$7</f>
        <v>Hoffenheim</v>
      </c>
      <c r="C11" s="87" t="str">
        <f>Auswertung!$E$7</f>
        <v>Freiburg</v>
      </c>
      <c r="E11" s="82">
        <f>IF(('[1]1. Spieltag'!D11=""),"",('[1]1. Spieltag'!D11))</f>
        <v>2</v>
      </c>
      <c r="F11" s="83">
        <f>IF(('[1]1. Spieltag'!E11=""),"",('[1]1.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IF(('[1]1. Spieltag'!H11=""),"",('[1]1. Spieltag'!H11))</f>
        <v>1</v>
      </c>
      <c r="J11" s="83">
        <f>IF(('[1]1. Spieltag'!I11=""),"",('[1]1.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IF(('[1]1. Spieltag'!L11=""),"",('[1]1. Spieltag'!L11))</f>
        <v>2</v>
      </c>
      <c r="N11" s="83">
        <f>IF(('[1]1. Spieltag'!M11=""),"",('[1]1.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IF(('[1]1. Spieltag'!P11=""),"",('[1]1. Spieltag'!P11))</f>
        <v>2</v>
      </c>
      <c r="R11" s="83">
        <f>IF(('[1]1. Spieltag'!Q11=""),"",('[1]1.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IF(('[1]1. Spieltag'!T11=""),"",('[1]1. Spieltag'!T11))</f>
        <v>2</v>
      </c>
      <c r="V11" s="83">
        <f>IF(('[1]1. Spieltag'!U11=""),"",('[1]1.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Augsburg</v>
      </c>
      <c r="C12" s="87" t="str">
        <f>Auswertung!$E$8</f>
        <v>M'gladbach</v>
      </c>
      <c r="E12" s="82">
        <f>IF(('[1]1. Spieltag'!D12=""),"",('[1]1. Spieltag'!D12))</f>
        <v>1</v>
      </c>
      <c r="F12" s="83">
        <f>IF(('[1]1. Spieltag'!E12=""),"",('[1]1.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40</v>
      </c>
      <c r="I12" s="82">
        <f>IF(('[1]1. Spieltag'!H12=""),"",('[1]1. Spieltag'!H12))</f>
        <v>1</v>
      </c>
      <c r="J12" s="83">
        <f>IF(('[1]1. Spieltag'!I12=""),"",('[1]1.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40</v>
      </c>
      <c r="M12" s="82">
        <f>IF(('[1]1. Spieltag'!L12=""),"",('[1]1. Spieltag'!L12))</f>
        <v>1</v>
      </c>
      <c r="N12" s="83">
        <f>IF(('[1]1. Spieltag'!M12=""),"",('[1]1.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40</v>
      </c>
      <c r="Q12" s="82">
        <f>IF(('[1]1. Spieltag'!P12=""),"",('[1]1. Spieltag'!P12))</f>
        <v>1</v>
      </c>
      <c r="R12" s="83">
        <f>IF(('[1]1. Spieltag'!Q12=""),"",('[1]1.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40</v>
      </c>
      <c r="U12" s="82">
        <f>IF(('[1]1. Spieltag'!T12=""),"",('[1]1. Spieltag'!T12))</f>
        <v>1</v>
      </c>
      <c r="V12" s="83">
        <f>IF(('[1]1. Spieltag'!U12=""),"",('[1]1.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Stuttgart</v>
      </c>
      <c r="C13" s="91" t="str">
        <f>Auswertung!$E$9</f>
        <v>Bochum</v>
      </c>
      <c r="E13" s="82">
        <f>IF(('[1]1. Spieltag'!D13=""),"",('[1]1. Spieltag'!D13))</f>
        <v>3</v>
      </c>
      <c r="F13" s="83">
        <f>IF(('[1]1. Spieltag'!E13=""),"",('[1]1. Spieltag'!E13))</f>
        <v>1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IF(('[1]1. Spieltag'!H13=""),"",('[1]1. Spieltag'!H13))</f>
        <v>1</v>
      </c>
      <c r="J13" s="83">
        <f>IF(('[1]1. Spieltag'!I13=""),"",('[1]1.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IF(('[1]1. Spieltag'!L13=""),"",('[1]1. Spieltag'!L13))</f>
        <v>2</v>
      </c>
      <c r="N13" s="83">
        <f>IF(('[1]1. Spieltag'!M13=""),"",('[1]1.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20</v>
      </c>
      <c r="Q13" s="82">
        <f>IF(('[1]1. Spieltag'!P13=""),"",('[1]1. Spieltag'!P13))</f>
        <v>3</v>
      </c>
      <c r="R13" s="83">
        <f>IF(('[1]1. Spieltag'!Q13=""),"",('[1]1. Spieltag'!Q13))</f>
        <v>1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IF(('[1]1. Spieltag'!T13=""),"",('[1]1. Spieltag'!T13))</f>
        <v>2</v>
      </c>
      <c r="V13" s="83">
        <f>IF(('[1]1. Spieltag'!U13=""),"",('[1]1.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20</v>
      </c>
    </row>
    <row r="14" spans="1:30" ht="11.25" customHeight="1" thickBot="1" x14ac:dyDescent="0.25">
      <c r="G14" s="47">
        <f>SUM(G5:G13)</f>
        <v>200</v>
      </c>
      <c r="K14" s="47">
        <f>SUM(K5:K13)</f>
        <v>160</v>
      </c>
      <c r="O14" s="47">
        <f>SUM(O5:O13)</f>
        <v>200</v>
      </c>
      <c r="S14" s="47">
        <f>SUM(S5:S13)</f>
        <v>200</v>
      </c>
      <c r="W14" s="47">
        <f>SUM(W5:W13)</f>
        <v>120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Bremen</v>
      </c>
      <c r="C20" s="81" t="str">
        <f>Auswertung!$E$1</f>
        <v>München</v>
      </c>
      <c r="E20" s="82">
        <f>IF(('[1]1. Spieltag'!D20=""),"",('[1]1. Spieltag'!D20))</f>
        <v>1</v>
      </c>
      <c r="F20" s="83">
        <f>IF(('[1]1. Spieltag'!E20=""),"",('[1]1. Spieltag'!E20))</f>
        <v>4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IF(('[1]1. Spieltag'!H20=""),"",('[1]1. Spieltag'!H20))</f>
        <v>1</v>
      </c>
      <c r="J20" s="83">
        <f>IF(('[1]1. Spieltag'!I20=""),"",('[1]1.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20</v>
      </c>
      <c r="M20" s="82">
        <f>IF(('[1]1. Spieltag'!L20=""),"",('[1]1. Spieltag'!L20))</f>
        <v>1</v>
      </c>
      <c r="N20" s="83">
        <f>IF(('[1]1. Spieltag'!M20=""),"",('[1]1. Spieltag'!M20))</f>
        <v>3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20</v>
      </c>
      <c r="Q20" s="82">
        <f>IF(('[1]1. Spieltag'!P20=""),"",('[1]1. Spieltag'!P20))</f>
        <v>0</v>
      </c>
      <c r="R20" s="83">
        <f>IF(('[1]1. Spieltag'!Q20=""),"",('[1]1. Spieltag'!Q20))</f>
        <v>3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Dortmund</v>
      </c>
      <c r="C21" s="87" t="str">
        <f>Auswertung!$E$2</f>
        <v>Köln</v>
      </c>
      <c r="E21" s="82">
        <f>IF(('[1]1. Spieltag'!D21=""),"",('[1]1. Spieltag'!D21))</f>
        <v>2</v>
      </c>
      <c r="F21" s="83">
        <f>IF(('[1]1. Spieltag'!E21=""),"",('[1]1. Spieltag'!E21))</f>
        <v>0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IF(('[1]1. Spieltag'!H21=""),"",('[1]1. Spieltag'!H21))</f>
        <v>2</v>
      </c>
      <c r="J21" s="83">
        <f>IF(('[1]1. Spieltag'!I21=""),"",('[1]1. Spieltag'!I21))</f>
        <v>0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IF(('[1]1. Spieltag'!L21=""),"",('[1]1. Spieltag'!L21))</f>
        <v>2</v>
      </c>
      <c r="N21" s="83">
        <f>IF(('[1]1. Spieltag'!M21=""),"",('[1]1. Spieltag'!M21))</f>
        <v>0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IF(('[1]1. Spieltag'!P21=""),"",('[1]1. Spieltag'!P21))</f>
        <v>2</v>
      </c>
      <c r="R21" s="83">
        <f>IF(('[1]1. Spieltag'!Q21=""),"",('[1]1. Spieltag'!Q21))</f>
        <v>0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Union Berlin</v>
      </c>
      <c r="C22" s="87" t="str">
        <f>Auswertung!$E$3</f>
        <v>Mainz</v>
      </c>
      <c r="E22" s="82">
        <f>IF(('[1]1. Spieltag'!D22=""),"",('[1]1. Spieltag'!D22))</f>
        <v>2</v>
      </c>
      <c r="F22" s="83">
        <f>IF(('[1]1. Spieltag'!E22=""),"",('[1]1.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IF(('[1]1. Spieltag'!H22=""),"",('[1]1. Spieltag'!H22))</f>
        <v>2</v>
      </c>
      <c r="J22" s="83">
        <f>IF(('[1]1. Spieltag'!I22=""),"",('[1]1.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20</v>
      </c>
      <c r="M22" s="82">
        <f>IF(('[1]1. Spieltag'!L22=""),"",('[1]1. Spieltag'!L22))</f>
        <v>2</v>
      </c>
      <c r="N22" s="83">
        <f>IF(('[1]1. Spieltag'!M22=""),"",('[1]1.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20</v>
      </c>
      <c r="Q22" s="82">
        <f>IF(('[1]1. Spieltag'!P22=""),"",('[1]1. Spieltag'!P22))</f>
        <v>2</v>
      </c>
      <c r="R22" s="83">
        <f>IF(('[1]1. Spieltag'!Q22=""),"",('[1]1.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Leverkusen</v>
      </c>
      <c r="C23" s="87" t="str">
        <f>Auswertung!$E$4</f>
        <v>Leipzig</v>
      </c>
      <c r="E23" s="82">
        <f>IF(('[1]1. Spieltag'!D23=""),"",('[1]1. Spieltag'!D23))</f>
        <v>2</v>
      </c>
      <c r="F23" s="83">
        <f>IF(('[1]1. Spieltag'!E23=""),"",('[1]1. Spieltag'!E23))</f>
        <v>2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IF(('[1]1. Spieltag'!H23=""),"",('[1]1. Spieltag'!H23))</f>
        <v>2</v>
      </c>
      <c r="J23" s="83">
        <f>IF(('[1]1. Spieltag'!I23=""),"",('[1]1. Spieltag'!I23))</f>
        <v>2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IF(('[1]1. Spieltag'!L23=""),"",('[1]1. Spieltag'!L23))</f>
        <v>2</v>
      </c>
      <c r="N23" s="83">
        <f>IF(('[1]1. Spieltag'!M23=""),"",('[1]1.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40</v>
      </c>
      <c r="Q23" s="82">
        <f>IF(('[1]1. Spieltag'!P23=""),"",('[1]1. Spieltag'!P23))</f>
        <v>1</v>
      </c>
      <c r="R23" s="83">
        <f>IF(('[1]1. Spieltag'!Q23=""),"",('[1]1.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Frankfurt</v>
      </c>
      <c r="C24" s="87" t="str">
        <f>Auswertung!$E$5</f>
        <v>Darmstadt</v>
      </c>
      <c r="E24" s="82">
        <f>IF(('[1]1. Spieltag'!D24=""),"",('[1]1. Spieltag'!D24))</f>
        <v>2</v>
      </c>
      <c r="F24" s="83">
        <f>IF(('[1]1. Spieltag'!E24=""),"",('[1]1. Spieltag'!E24))</f>
        <v>0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20</v>
      </c>
      <c r="I24" s="82">
        <f>IF(('[1]1. Spieltag'!H24=""),"",('[1]1. Spieltag'!H24))</f>
        <v>2</v>
      </c>
      <c r="J24" s="83">
        <f>IF(('[1]1. Spieltag'!I24=""),"",('[1]1. Spieltag'!I24))</f>
        <v>0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20</v>
      </c>
      <c r="M24" s="82">
        <f>IF(('[1]1. Spieltag'!L24=""),"",('[1]1. Spieltag'!L24))</f>
        <v>2</v>
      </c>
      <c r="N24" s="83">
        <f>IF(('[1]1. Spieltag'!M24=""),"",('[1]1. Spieltag'!M24))</f>
        <v>0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20</v>
      </c>
      <c r="Q24" s="82">
        <f>IF(('[1]1. Spieltag'!P24=""),"",('[1]1. Spieltag'!P24))</f>
        <v>2</v>
      </c>
      <c r="R24" s="83">
        <f>IF(('[1]1. Spieltag'!Q24=""),"",('[1]1.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40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Wolfsburg</v>
      </c>
      <c r="C25" s="87" t="str">
        <f>Auswertung!$E$6</f>
        <v>Heidenheim</v>
      </c>
      <c r="E25" s="82">
        <f>IF(('[1]1. Spieltag'!D25=""),"",('[1]1. Spieltag'!D25))</f>
        <v>3</v>
      </c>
      <c r="F25" s="83">
        <f>IF(('[1]1. Spieltag'!E25=""),"",('[1]1. Spieltag'!E25))</f>
        <v>0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20</v>
      </c>
      <c r="I25" s="82">
        <f>IF(('[1]1. Spieltag'!H25=""),"",('[1]1. Spieltag'!H25))</f>
        <v>2</v>
      </c>
      <c r="J25" s="83">
        <f>IF(('[1]1. Spieltag'!I25=""),"",('[1]1. Spieltag'!I25))</f>
        <v>0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60</v>
      </c>
      <c r="M25" s="82">
        <f>IF(('[1]1. Spieltag'!L25=""),"",('[1]1. Spieltag'!L25))</f>
        <v>2</v>
      </c>
      <c r="N25" s="83">
        <f>IF(('[1]1. Spieltag'!M25=""),"",('[1]1. Spieltag'!M25))</f>
        <v>0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60</v>
      </c>
      <c r="Q25" s="82">
        <f>IF(('[1]1. Spieltag'!P25=""),"",('[1]1. Spieltag'!P25))</f>
        <v>3</v>
      </c>
      <c r="R25" s="83">
        <f>IF(('[1]1. Spieltag'!Q25=""),"",('[1]1.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20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Hoffenheim</v>
      </c>
      <c r="C26" s="87" t="str">
        <f>Auswertung!$E$7</f>
        <v>Freiburg</v>
      </c>
      <c r="E26" s="82">
        <f>IF(('[1]1. Spieltag'!D26=""),"",('[1]1. Spieltag'!D26))</f>
        <v>2</v>
      </c>
      <c r="F26" s="83">
        <f>IF(('[1]1. Spieltag'!E26=""),"",('[1]1.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IF(('[1]1. Spieltag'!H26=""),"",('[1]1. Spieltag'!H26))</f>
        <v>2</v>
      </c>
      <c r="J26" s="83">
        <f>IF(('[1]1. Spieltag'!I26=""),"",('[1]1.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IF(('[1]1. Spieltag'!L26=""),"",('[1]1. Spieltag'!L26))</f>
        <v>1</v>
      </c>
      <c r="N26" s="83">
        <f>IF(('[1]1. Spieltag'!M26=""),"",('[1]1. Spieltag'!M26))</f>
        <v>2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60</v>
      </c>
      <c r="Q26" s="82">
        <f>IF(('[1]1. Spieltag'!P26=""),"",('[1]1. Spieltag'!P26))</f>
        <v>1</v>
      </c>
      <c r="R26" s="83">
        <f>IF(('[1]1. Spieltag'!Q26=""),"",('[1]1.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Augsburg</v>
      </c>
      <c r="C27" s="87" t="str">
        <f>Auswertung!$E$8</f>
        <v>M'gladbach</v>
      </c>
      <c r="E27" s="82">
        <f>IF(('[1]1. Spieltag'!D27=""),"",('[1]1. Spieltag'!D27))</f>
        <v>1</v>
      </c>
      <c r="F27" s="83">
        <f>IF(('[1]1. Spieltag'!E27=""),"",('[1]1.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IF(('[1]1. Spieltag'!H27=""),"",('[1]1. Spieltag'!H27))</f>
        <v>1</v>
      </c>
      <c r="J27" s="83">
        <f>IF(('[1]1. Spieltag'!I27=""),"",('[1]1.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IF(('[1]1. Spieltag'!L27=""),"",('[1]1. Spieltag'!L27))</f>
        <v>1</v>
      </c>
      <c r="N27" s="83">
        <f>IF(('[1]1. Spieltag'!M27=""),"",('[1]1.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40</v>
      </c>
      <c r="Q27" s="82">
        <f>IF(('[1]1. Spieltag'!P27=""),"",('[1]1. Spieltag'!P27))</f>
        <v>1</v>
      </c>
      <c r="R27" s="83">
        <f>IF(('[1]1. Spieltag'!Q27=""),"",('[1]1.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40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Stuttgart</v>
      </c>
      <c r="C28" s="91" t="str">
        <f>Auswertung!$E$9</f>
        <v>Bochum</v>
      </c>
      <c r="E28" s="82">
        <f>IF(('[1]1. Spieltag'!D28=""),"",('[1]1. Spieltag'!D28))</f>
        <v>2</v>
      </c>
      <c r="F28" s="83">
        <f>IF(('[1]1. Spieltag'!E28=""),"",('[1]1.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20</v>
      </c>
      <c r="I28" s="82">
        <f>IF(('[1]1. Spieltag'!H28=""),"",('[1]1. Spieltag'!H28))</f>
        <v>2</v>
      </c>
      <c r="J28" s="83">
        <f>IF(('[1]1. Spieltag'!I28=""),"",('[1]1.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20</v>
      </c>
      <c r="M28" s="82">
        <f>IF(('[1]1. Spieltag'!L28=""),"",('[1]1. Spieltag'!L28))</f>
        <v>1</v>
      </c>
      <c r="N28" s="83">
        <f>IF(('[1]1. Spieltag'!M28=""),"",('[1]1.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IF(('[1]1. Spieltag'!P28=""),"",('[1]1. Spieltag'!P28))</f>
        <v>1</v>
      </c>
      <c r="R28" s="83">
        <f>IF(('[1]1. Spieltag'!Q28=""),"",('[1]1. Spieltag'!Q28))</f>
        <v>1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120</v>
      </c>
      <c r="K29" s="47">
        <f>SUM(K20:K28)</f>
        <v>160</v>
      </c>
      <c r="O29" s="47">
        <f>SUM(O20:O28)</f>
        <v>280</v>
      </c>
      <c r="S29" s="47">
        <f>SUM(S20:S28)</f>
        <v>160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B15" sqref="B15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200</v>
      </c>
      <c r="C4" s="101">
        <f>Mannschaftstipps!$E$16</f>
        <v>455</v>
      </c>
      <c r="D4" s="101">
        <f>C4+B4</f>
        <v>655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160</v>
      </c>
      <c r="C5" s="107">
        <f>Mannschaftstipps!$I$16</f>
        <v>430</v>
      </c>
      <c r="D5" s="107">
        <f>C5+B5</f>
        <v>590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200</v>
      </c>
      <c r="C6" s="110">
        <f>Mannschaftstipps!$M$16</f>
        <v>345</v>
      </c>
      <c r="D6" s="110">
        <f>C6+B6</f>
        <v>545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200</v>
      </c>
      <c r="C7" s="107">
        <f>Mannschaftstipps!$E$33</f>
        <v>575</v>
      </c>
      <c r="D7" s="107">
        <f t="shared" ref="D7:D12" si="1">C7+B7</f>
        <v>775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120</v>
      </c>
      <c r="C8" s="110">
        <f>Mannschaftstipps!$I$33</f>
        <v>625</v>
      </c>
      <c r="D8" s="110">
        <f t="shared" si="1"/>
        <v>745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120</v>
      </c>
      <c r="C9" s="107">
        <f>Mannschaftstipps!$M$33</f>
        <v>590</v>
      </c>
      <c r="D9" s="107">
        <f t="shared" si="1"/>
        <v>710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160</v>
      </c>
      <c r="C10" s="110">
        <f>Mannschaftstipps!$E$50</f>
        <v>590</v>
      </c>
      <c r="D10" s="110">
        <f t="shared" si="1"/>
        <v>750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280</v>
      </c>
      <c r="C11" s="107">
        <f>Mannschaftstipps!$I$50</f>
        <v>545</v>
      </c>
      <c r="D11" s="107">
        <f t="shared" si="1"/>
        <v>825</v>
      </c>
      <c r="E11" s="108">
        <f t="shared" si="0"/>
        <v>50</v>
      </c>
    </row>
    <row r="12" spans="1:5" x14ac:dyDescent="0.2">
      <c r="A12" s="109" t="s">
        <v>78</v>
      </c>
      <c r="B12" s="110">
        <f>Ergebnistipps!$S$29</f>
        <v>160</v>
      </c>
      <c r="C12" s="110">
        <f>Mannschaftstipps!$M$50</f>
        <v>485</v>
      </c>
      <c r="D12" s="110">
        <f t="shared" si="1"/>
        <v>645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825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Santos Fernandes</cp:lastModifiedBy>
  <cp:lastPrinted>2023-08-18T10:35:04Z</cp:lastPrinted>
  <dcterms:created xsi:type="dcterms:W3CDTF">1999-07-16T21:37:12Z</dcterms:created>
  <dcterms:modified xsi:type="dcterms:W3CDTF">2023-08-21T05:20:06Z</dcterms:modified>
</cp:coreProperties>
</file>