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0B6AEB3B-D786-4DF2-9289-2EEC825AC2CA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Spieltag!$K$1:$AB$541</definedName>
    <definedName name="_xlnm.Print_Area" localSheetId="2">Auswertung!$B$1:$W$597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Spieltag!$B$1:$I$596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50" i="6" l="1"/>
  <c r="V150" i="6"/>
  <c r="U150" i="6"/>
  <c r="S150" i="6"/>
  <c r="N150" i="6"/>
  <c r="L150" i="6"/>
  <c r="J150" i="6"/>
  <c r="H150" i="6"/>
  <c r="E150" i="6"/>
  <c r="D150" i="6"/>
  <c r="C150" i="6"/>
  <c r="B150" i="6"/>
  <c r="AB137" i="41"/>
  <c r="W344" i="6"/>
  <c r="V344" i="6"/>
  <c r="U344" i="6"/>
  <c r="S344" i="6"/>
  <c r="N344" i="6"/>
  <c r="L344" i="6"/>
  <c r="J344" i="6"/>
  <c r="H344" i="6"/>
  <c r="E344" i="6"/>
  <c r="D344" i="6"/>
  <c r="C344" i="6"/>
  <c r="B344" i="6"/>
  <c r="AB331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4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AB212" i="41"/>
  <c r="W553" i="6" l="1"/>
  <c r="V553" i="6"/>
  <c r="U553" i="6"/>
  <c r="S553" i="6"/>
  <c r="N553" i="6"/>
  <c r="L553" i="6"/>
  <c r="J553" i="6"/>
  <c r="H553" i="6"/>
  <c r="E553" i="6"/>
  <c r="D553" i="6"/>
  <c r="C553" i="6"/>
  <c r="B553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AB435" i="41"/>
  <c r="AB433" i="41"/>
  <c r="AB432" i="41"/>
  <c r="AB431" i="41"/>
  <c r="AB430" i="41"/>
  <c r="AB429" i="41"/>
  <c r="AB428" i="41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AB368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V362" i="6"/>
  <c r="U362" i="6"/>
  <c r="S362" i="6"/>
  <c r="N362" i="6"/>
  <c r="L362" i="6"/>
  <c r="J362" i="6"/>
  <c r="H362" i="6"/>
  <c r="E362" i="6"/>
  <c r="D362" i="6"/>
  <c r="C362" i="6"/>
  <c r="B362" i="6"/>
  <c r="AB354" i="41"/>
  <c r="AB349" i="41"/>
  <c r="AB344" i="41"/>
  <c r="W249" i="6"/>
  <c r="V249" i="6"/>
  <c r="U249" i="6"/>
  <c r="S249" i="6"/>
  <c r="N249" i="6"/>
  <c r="L249" i="6"/>
  <c r="J249" i="6"/>
  <c r="H249" i="6"/>
  <c r="E249" i="6"/>
  <c r="D249" i="6"/>
  <c r="C249" i="6"/>
  <c r="B249" i="6"/>
  <c r="AB236" i="41"/>
  <c r="W214" i="6"/>
  <c r="V214" i="6"/>
  <c r="U214" i="6"/>
  <c r="S214" i="6"/>
  <c r="N214" i="6"/>
  <c r="L214" i="6"/>
  <c r="J214" i="6"/>
  <c r="H214" i="6"/>
  <c r="E214" i="6"/>
  <c r="D214" i="6"/>
  <c r="C214" i="6"/>
  <c r="B214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V199" i="6"/>
  <c r="U199" i="6"/>
  <c r="S199" i="6"/>
  <c r="N199" i="6"/>
  <c r="L199" i="6"/>
  <c r="J199" i="6"/>
  <c r="H199" i="6"/>
  <c r="E199" i="6"/>
  <c r="D199" i="6"/>
  <c r="C199" i="6"/>
  <c r="B199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AB201" i="41"/>
  <c r="AB186" i="41"/>
  <c r="AB185" i="41"/>
  <c r="AB177" i="41"/>
  <c r="AB541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V67" i="6"/>
  <c r="U67" i="6"/>
  <c r="S67" i="6"/>
  <c r="N67" i="6"/>
  <c r="L67" i="6"/>
  <c r="J67" i="6"/>
  <c r="H67" i="6"/>
  <c r="E67" i="6"/>
  <c r="D67" i="6"/>
  <c r="C67" i="6"/>
  <c r="B67" i="6"/>
  <c r="AB54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328" i="6"/>
  <c r="V328" i="6"/>
  <c r="U328" i="6"/>
  <c r="S328" i="6"/>
  <c r="N328" i="6"/>
  <c r="L328" i="6"/>
  <c r="J328" i="6"/>
  <c r="H328" i="6"/>
  <c r="E328" i="6"/>
  <c r="D328" i="6"/>
  <c r="C328" i="6"/>
  <c r="B328" i="6"/>
  <c r="AB315" i="41"/>
  <c r="W370" i="6"/>
  <c r="V370" i="6"/>
  <c r="U370" i="6"/>
  <c r="S370" i="6"/>
  <c r="N370" i="6"/>
  <c r="L370" i="6"/>
  <c r="J370" i="6"/>
  <c r="H370" i="6"/>
  <c r="E370" i="6"/>
  <c r="D370" i="6"/>
  <c r="C370" i="6"/>
  <c r="B370" i="6"/>
  <c r="AB357" i="41"/>
  <c r="W191" i="6"/>
  <c r="V191" i="6"/>
  <c r="U191" i="6"/>
  <c r="S191" i="6"/>
  <c r="N191" i="6"/>
  <c r="L191" i="6"/>
  <c r="J191" i="6"/>
  <c r="H191" i="6"/>
  <c r="E191" i="6"/>
  <c r="D191" i="6"/>
  <c r="C191" i="6"/>
  <c r="B191" i="6"/>
  <c r="AB178" i="41"/>
  <c r="W78" i="6"/>
  <c r="V78" i="6"/>
  <c r="U78" i="6"/>
  <c r="S78" i="6"/>
  <c r="N78" i="6"/>
  <c r="L78" i="6"/>
  <c r="J78" i="6"/>
  <c r="H78" i="6"/>
  <c r="E78" i="6"/>
  <c r="D78" i="6"/>
  <c r="C78" i="6"/>
  <c r="B7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AB65" i="41"/>
  <c r="AB204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AB24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AB262" i="41"/>
  <c r="AB257" i="41"/>
  <c r="W155" i="6" l="1"/>
  <c r="V155" i="6"/>
  <c r="U155" i="6"/>
  <c r="S155" i="6"/>
  <c r="N155" i="6"/>
  <c r="L155" i="6"/>
  <c r="J155" i="6"/>
  <c r="H155" i="6"/>
  <c r="E155" i="6"/>
  <c r="D155" i="6"/>
  <c r="C155" i="6"/>
  <c r="B155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02" i="41"/>
  <c r="AB142" i="41"/>
  <c r="AB324" i="41"/>
  <c r="W272" i="6"/>
  <c r="V272" i="6"/>
  <c r="U272" i="6"/>
  <c r="S272" i="6"/>
  <c r="N272" i="6"/>
  <c r="L272" i="6"/>
  <c r="J272" i="6"/>
  <c r="H272" i="6"/>
  <c r="E272" i="6"/>
  <c r="D272" i="6"/>
  <c r="C272" i="6"/>
  <c r="B272" i="6"/>
  <c r="AB259" i="41"/>
  <c r="W223" i="6"/>
  <c r="V223" i="6"/>
  <c r="U223" i="6"/>
  <c r="S223" i="6"/>
  <c r="N223" i="6"/>
  <c r="L223" i="6"/>
  <c r="J223" i="6"/>
  <c r="H223" i="6"/>
  <c r="E223" i="6"/>
  <c r="D223" i="6"/>
  <c r="C223" i="6"/>
  <c r="B223" i="6"/>
  <c r="AB210" i="41"/>
  <c r="W32" i="6"/>
  <c r="V32" i="6"/>
  <c r="U32" i="6"/>
  <c r="S32" i="6"/>
  <c r="N32" i="6"/>
  <c r="L32" i="6"/>
  <c r="J32" i="6"/>
  <c r="H32" i="6"/>
  <c r="E32" i="6"/>
  <c r="D32" i="6"/>
  <c r="C32" i="6"/>
  <c r="B32" i="6"/>
  <c r="AB19" i="41"/>
  <c r="W162" i="6"/>
  <c r="V162" i="6"/>
  <c r="U162" i="6"/>
  <c r="S162" i="6"/>
  <c r="N162" i="6"/>
  <c r="L162" i="6"/>
  <c r="J162" i="6"/>
  <c r="H162" i="6"/>
  <c r="E162" i="6"/>
  <c r="D162" i="6"/>
  <c r="C162" i="6"/>
  <c r="B162" i="6"/>
  <c r="AB149" i="41"/>
  <c r="W545" i="6"/>
  <c r="V545" i="6"/>
  <c r="U545" i="6"/>
  <c r="S545" i="6"/>
  <c r="N545" i="6"/>
  <c r="L545" i="6"/>
  <c r="J545" i="6"/>
  <c r="H545" i="6"/>
  <c r="E545" i="6"/>
  <c r="D545" i="6"/>
  <c r="C545" i="6"/>
  <c r="B545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AB533" i="41"/>
  <c r="W549" i="6"/>
  <c r="V549" i="6"/>
  <c r="U549" i="6"/>
  <c r="S549" i="6"/>
  <c r="N549" i="6"/>
  <c r="L549" i="6"/>
  <c r="J549" i="6"/>
  <c r="H549" i="6"/>
  <c r="E549" i="6"/>
  <c r="D549" i="6"/>
  <c r="C549" i="6"/>
  <c r="B549" i="6"/>
  <c r="AB537" i="41"/>
  <c r="W124" i="6"/>
  <c r="V124" i="6"/>
  <c r="U124" i="6"/>
  <c r="S124" i="6"/>
  <c r="N124" i="6"/>
  <c r="L124" i="6"/>
  <c r="J124" i="6"/>
  <c r="H124" i="6"/>
  <c r="E124" i="6"/>
  <c r="D124" i="6"/>
  <c r="C124" i="6"/>
  <c r="B124" i="6"/>
  <c r="AB111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416" i="6"/>
  <c r="V416" i="6"/>
  <c r="U416" i="6"/>
  <c r="S416" i="6"/>
  <c r="N416" i="6"/>
  <c r="L416" i="6"/>
  <c r="J416" i="6"/>
  <c r="H416" i="6"/>
  <c r="E416" i="6"/>
  <c r="D416" i="6"/>
  <c r="C416" i="6"/>
  <c r="B416" i="6"/>
  <c r="AB40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AB397" i="41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4" i="41"/>
  <c r="W156" i="6"/>
  <c r="V156" i="6"/>
  <c r="U156" i="6"/>
  <c r="S156" i="6"/>
  <c r="N156" i="6"/>
  <c r="L156" i="6"/>
  <c r="J156" i="6"/>
  <c r="H156" i="6"/>
  <c r="E156" i="6"/>
  <c r="D156" i="6"/>
  <c r="C156" i="6"/>
  <c r="B156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AB143" i="41"/>
  <c r="AB138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AB147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AB412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AB401" i="41"/>
  <c r="AB394" i="41"/>
  <c r="AB388" i="41"/>
  <c r="W274" i="6"/>
  <c r="V274" i="6"/>
  <c r="U274" i="6"/>
  <c r="S274" i="6"/>
  <c r="N274" i="6"/>
  <c r="L274" i="6"/>
  <c r="J274" i="6"/>
  <c r="H274" i="6"/>
  <c r="E274" i="6"/>
  <c r="D274" i="6"/>
  <c r="C274" i="6"/>
  <c r="B274" i="6"/>
  <c r="AB261" i="41"/>
  <c r="W64" i="6"/>
  <c r="V64" i="6"/>
  <c r="U64" i="6"/>
  <c r="S64" i="6"/>
  <c r="N64" i="6"/>
  <c r="L64" i="6"/>
  <c r="J64" i="6"/>
  <c r="H64" i="6"/>
  <c r="E64" i="6"/>
  <c r="D64" i="6"/>
  <c r="C64" i="6"/>
  <c r="B64" i="6"/>
  <c r="AB51" i="41"/>
  <c r="W28" i="6"/>
  <c r="V28" i="6"/>
  <c r="U28" i="6"/>
  <c r="S28" i="6"/>
  <c r="N28" i="6"/>
  <c r="L28" i="6"/>
  <c r="J28" i="6"/>
  <c r="H28" i="6"/>
  <c r="E28" i="6"/>
  <c r="D28" i="6"/>
  <c r="C28" i="6"/>
  <c r="B28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5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AB396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W35" i="6"/>
  <c r="V35" i="6"/>
  <c r="U35" i="6"/>
  <c r="S35" i="6"/>
  <c r="N35" i="6"/>
  <c r="L35" i="6"/>
  <c r="J35" i="6"/>
  <c r="H35" i="6"/>
  <c r="E35" i="6"/>
  <c r="D35" i="6"/>
  <c r="C35" i="6"/>
  <c r="B35" i="6"/>
  <c r="AB22" i="41"/>
  <c r="L37" i="8"/>
  <c r="H37" i="8"/>
  <c r="D37" i="8"/>
  <c r="L20" i="8"/>
  <c r="H20" i="8"/>
  <c r="L3" i="8"/>
  <c r="H3" i="8"/>
  <c r="D3" i="8"/>
  <c r="W551" i="6"/>
  <c r="V551" i="6"/>
  <c r="U551" i="6"/>
  <c r="S551" i="6"/>
  <c r="N551" i="6"/>
  <c r="L551" i="6"/>
  <c r="J551" i="6"/>
  <c r="H551" i="6"/>
  <c r="E551" i="6"/>
  <c r="D551" i="6"/>
  <c r="C551" i="6"/>
  <c r="B551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536" i="6"/>
  <c r="V536" i="6"/>
  <c r="U536" i="6"/>
  <c r="S536" i="6"/>
  <c r="N536" i="6"/>
  <c r="L536" i="6"/>
  <c r="J536" i="6"/>
  <c r="H536" i="6"/>
  <c r="E536" i="6"/>
  <c r="D536" i="6"/>
  <c r="C536" i="6"/>
  <c r="B536" i="6"/>
  <c r="W535" i="6"/>
  <c r="V535" i="6"/>
  <c r="U535" i="6"/>
  <c r="S535" i="6"/>
  <c r="N535" i="6"/>
  <c r="L535" i="6"/>
  <c r="J535" i="6"/>
  <c r="H535" i="6"/>
  <c r="E535" i="6"/>
  <c r="D535" i="6"/>
  <c r="C535" i="6"/>
  <c r="B535" i="6"/>
  <c r="W534" i="6"/>
  <c r="V534" i="6"/>
  <c r="U534" i="6"/>
  <c r="S534" i="6"/>
  <c r="N534" i="6"/>
  <c r="L534" i="6"/>
  <c r="J534" i="6"/>
  <c r="H534" i="6"/>
  <c r="E534" i="6"/>
  <c r="D534" i="6"/>
  <c r="C534" i="6"/>
  <c r="B534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32" i="6"/>
  <c r="V532" i="6"/>
  <c r="U532" i="6"/>
  <c r="S532" i="6"/>
  <c r="N532" i="6"/>
  <c r="L532" i="6"/>
  <c r="J532" i="6"/>
  <c r="H532" i="6"/>
  <c r="E532" i="6"/>
  <c r="D532" i="6"/>
  <c r="C532" i="6"/>
  <c r="B532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AB529" i="41"/>
  <c r="AB528" i="41"/>
  <c r="AB527" i="41"/>
  <c r="AB523" i="41"/>
  <c r="AB522" i="41"/>
  <c r="AB525" i="41"/>
  <c r="AB524" i="41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475" i="6"/>
  <c r="V475" i="6"/>
  <c r="U475" i="6"/>
  <c r="S475" i="6"/>
  <c r="N475" i="6"/>
  <c r="L475" i="6"/>
  <c r="J475" i="6"/>
  <c r="H475" i="6"/>
  <c r="E475" i="6"/>
  <c r="D475" i="6"/>
  <c r="C475" i="6"/>
  <c r="B475" i="6"/>
  <c r="W474" i="6"/>
  <c r="V474" i="6"/>
  <c r="U474" i="6"/>
  <c r="S474" i="6"/>
  <c r="N474" i="6"/>
  <c r="L474" i="6"/>
  <c r="J474" i="6"/>
  <c r="H474" i="6"/>
  <c r="E474" i="6"/>
  <c r="D474" i="6"/>
  <c r="C474" i="6"/>
  <c r="B474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3" i="6"/>
  <c r="V473" i="6"/>
  <c r="U473" i="6"/>
  <c r="S473" i="6"/>
  <c r="N473" i="6"/>
  <c r="L473" i="6"/>
  <c r="J473" i="6"/>
  <c r="H473" i="6"/>
  <c r="E473" i="6"/>
  <c r="D473" i="6"/>
  <c r="C473" i="6"/>
  <c r="B473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AB480" i="41"/>
  <c r="AB479" i="41"/>
  <c r="AB478" i="41"/>
  <c r="AB477" i="41"/>
  <c r="AB473" i="41"/>
  <c r="AB468" i="41"/>
  <c r="AB475" i="41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49" i="41"/>
  <c r="AB448" i="41"/>
  <c r="AB427" i="41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AB408" i="41"/>
  <c r="AB407" i="41"/>
  <c r="AB406" i="41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AB386" i="41"/>
  <c r="AB387" i="41"/>
  <c r="AB381" i="41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AB350" i="41"/>
  <c r="AB348" i="41"/>
  <c r="AB347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AB308" i="41"/>
  <c r="AB307" i="41"/>
  <c r="AB303" i="41"/>
  <c r="W309" i="6"/>
  <c r="V309" i="6"/>
  <c r="U309" i="6"/>
  <c r="S309" i="6"/>
  <c r="N309" i="6"/>
  <c r="L309" i="6"/>
  <c r="J309" i="6"/>
  <c r="H309" i="6"/>
  <c r="E309" i="6"/>
  <c r="D309" i="6"/>
  <c r="C309" i="6"/>
  <c r="B309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98" i="41"/>
  <c r="AB280" i="41"/>
  <c r="AB279" i="41"/>
  <c r="AB278" i="41"/>
  <c r="AB277" i="41"/>
  <c r="AB276" i="41"/>
  <c r="AB272" i="41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60" i="6"/>
  <c r="V260" i="6"/>
  <c r="U260" i="6"/>
  <c r="S260" i="6"/>
  <c r="N260" i="6"/>
  <c r="L260" i="6"/>
  <c r="J260" i="6"/>
  <c r="H260" i="6"/>
  <c r="E260" i="6"/>
  <c r="D260" i="6"/>
  <c r="C260" i="6"/>
  <c r="B260" i="6"/>
  <c r="AB253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V232" i="6"/>
  <c r="U232" i="6"/>
  <c r="S232" i="6"/>
  <c r="N232" i="6"/>
  <c r="L232" i="6"/>
  <c r="J232" i="6"/>
  <c r="H232" i="6"/>
  <c r="E232" i="6"/>
  <c r="D232" i="6"/>
  <c r="C232" i="6"/>
  <c r="B232" i="6"/>
  <c r="W231" i="6"/>
  <c r="V231" i="6"/>
  <c r="U231" i="6"/>
  <c r="S231" i="6"/>
  <c r="N231" i="6"/>
  <c r="L231" i="6"/>
  <c r="J231" i="6"/>
  <c r="H231" i="6"/>
  <c r="E231" i="6"/>
  <c r="D231" i="6"/>
  <c r="C231" i="6"/>
  <c r="B231" i="6"/>
  <c r="AB233" i="41"/>
  <c r="AB232" i="41"/>
  <c r="AB231" i="41"/>
  <c r="AB230" i="41"/>
  <c r="AB228" i="41"/>
  <c r="AB227" i="41"/>
  <c r="AB220" i="41"/>
  <c r="AB22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AB206" i="41"/>
  <c r="AB208" i="41"/>
  <c r="AB207" i="41"/>
  <c r="AB197" i="41"/>
  <c r="AB196" i="41"/>
  <c r="AB195" i="41"/>
  <c r="AB194" i="41"/>
  <c r="AB193" i="41"/>
  <c r="AB189" i="41"/>
  <c r="AB190" i="41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5" i="6"/>
  <c r="U175" i="6"/>
  <c r="S175" i="6"/>
  <c r="N175" i="6"/>
  <c r="L175" i="6"/>
  <c r="J175" i="6"/>
  <c r="H175" i="6"/>
  <c r="E175" i="6"/>
  <c r="D175" i="6"/>
  <c r="C175" i="6"/>
  <c r="B175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V170" i="6"/>
  <c r="U170" i="6"/>
  <c r="S170" i="6"/>
  <c r="N170" i="6"/>
  <c r="L170" i="6"/>
  <c r="J170" i="6"/>
  <c r="H170" i="6"/>
  <c r="E170" i="6"/>
  <c r="D170" i="6"/>
  <c r="C170" i="6"/>
  <c r="B170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168" i="6"/>
  <c r="V168" i="6"/>
  <c r="U168" i="6"/>
  <c r="S168" i="6"/>
  <c r="N168" i="6"/>
  <c r="L168" i="6"/>
  <c r="J168" i="6"/>
  <c r="H168" i="6"/>
  <c r="E168" i="6"/>
  <c r="D168" i="6"/>
  <c r="C168" i="6"/>
  <c r="B168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V164" i="6"/>
  <c r="U164" i="6"/>
  <c r="S164" i="6"/>
  <c r="N164" i="6"/>
  <c r="L164" i="6"/>
  <c r="J164" i="6"/>
  <c r="H164" i="6"/>
  <c r="E164" i="6"/>
  <c r="D164" i="6"/>
  <c r="C164" i="6"/>
  <c r="B164" i="6"/>
  <c r="AB160" i="41"/>
  <c r="AB161" i="41"/>
  <c r="AB163" i="41"/>
  <c r="AB151" i="41"/>
  <c r="AB152" i="41"/>
  <c r="AB1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V138" i="6"/>
  <c r="U138" i="6"/>
  <c r="S138" i="6"/>
  <c r="N138" i="6"/>
  <c r="L138" i="6"/>
  <c r="J138" i="6"/>
  <c r="H138" i="6"/>
  <c r="E138" i="6"/>
  <c r="D138" i="6"/>
  <c r="C138" i="6"/>
  <c r="B138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AB124" i="41"/>
  <c r="AB123" i="41"/>
  <c r="AB122" i="41"/>
  <c r="W128" i="6" l="1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06" i="6"/>
  <c r="V106" i="6"/>
  <c r="U106" i="6"/>
  <c r="S106" i="6"/>
  <c r="N106" i="6"/>
  <c r="L106" i="6"/>
  <c r="J106" i="6"/>
  <c r="H106" i="6"/>
  <c r="E106" i="6"/>
  <c r="D106" i="6"/>
  <c r="C106" i="6"/>
  <c r="B106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AB115" i="41"/>
  <c r="AB114" i="41"/>
  <c r="AB113" i="41"/>
  <c r="AB112" i="41"/>
  <c r="AB106" i="41"/>
  <c r="AB105" i="41"/>
  <c r="AB104" i="41"/>
  <c r="AB103" i="41"/>
  <c r="AB102" i="41"/>
  <c r="AB99" i="41"/>
  <c r="AB98" i="41"/>
  <c r="AB96" i="41"/>
  <c r="AB94" i="41"/>
  <c r="AB93" i="41"/>
  <c r="AB90" i="41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W87" i="6"/>
  <c r="V87" i="6"/>
  <c r="U87" i="6"/>
  <c r="S87" i="6"/>
  <c r="N87" i="6"/>
  <c r="L87" i="6"/>
  <c r="J87" i="6"/>
  <c r="H87" i="6"/>
  <c r="E87" i="6"/>
  <c r="D87" i="6"/>
  <c r="C87" i="6"/>
  <c r="B87" i="6"/>
  <c r="V85" i="6"/>
  <c r="U85" i="6"/>
  <c r="S85" i="6"/>
  <c r="N85" i="6"/>
  <c r="L85" i="6"/>
  <c r="J85" i="6"/>
  <c r="H85" i="6"/>
  <c r="E85" i="6"/>
  <c r="D85" i="6"/>
  <c r="C85" i="6"/>
  <c r="B85" i="6"/>
  <c r="V83" i="6"/>
  <c r="U83" i="6"/>
  <c r="S83" i="6"/>
  <c r="N83" i="6"/>
  <c r="L83" i="6"/>
  <c r="J83" i="6"/>
  <c r="H83" i="6"/>
  <c r="E83" i="6"/>
  <c r="D83" i="6"/>
  <c r="C83" i="6"/>
  <c r="B83" i="6"/>
  <c r="V82" i="6"/>
  <c r="U82" i="6"/>
  <c r="S82" i="6"/>
  <c r="N82" i="6"/>
  <c r="L82" i="6"/>
  <c r="J82" i="6"/>
  <c r="H82" i="6"/>
  <c r="E82" i="6"/>
  <c r="D82" i="6"/>
  <c r="C82" i="6"/>
  <c r="B82" i="6"/>
  <c r="W81" i="6"/>
  <c r="V81" i="6"/>
  <c r="U81" i="6"/>
  <c r="S81" i="6"/>
  <c r="N81" i="6"/>
  <c r="L81" i="6"/>
  <c r="J81" i="6"/>
  <c r="H81" i="6"/>
  <c r="E81" i="6"/>
  <c r="D81" i="6"/>
  <c r="C81" i="6"/>
  <c r="B81" i="6"/>
  <c r="W80" i="6"/>
  <c r="V80" i="6"/>
  <c r="U80" i="6"/>
  <c r="S80" i="6"/>
  <c r="N80" i="6"/>
  <c r="L80" i="6"/>
  <c r="J80" i="6"/>
  <c r="H80" i="6"/>
  <c r="E80" i="6"/>
  <c r="D80" i="6"/>
  <c r="C80" i="6"/>
  <c r="B80" i="6"/>
  <c r="AB78" i="41"/>
  <c r="AB77" i="41"/>
  <c r="AB76" i="41"/>
  <c r="AB75" i="41"/>
  <c r="AB74" i="41"/>
  <c r="AB86" i="41"/>
  <c r="AB85" i="41"/>
  <c r="AB84" i="41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W38" i="6"/>
  <c r="V38" i="6"/>
  <c r="U38" i="6"/>
  <c r="S38" i="6"/>
  <c r="N38" i="6"/>
  <c r="L38" i="6"/>
  <c r="J38" i="6"/>
  <c r="H38" i="6"/>
  <c r="E38" i="6"/>
  <c r="D38" i="6"/>
  <c r="C38" i="6"/>
  <c r="B38" i="6"/>
  <c r="W37" i="6"/>
  <c r="V37" i="6"/>
  <c r="U37" i="6"/>
  <c r="S37" i="6"/>
  <c r="N37" i="6"/>
  <c r="L37" i="6"/>
  <c r="J37" i="6"/>
  <c r="H37" i="6"/>
  <c r="E37" i="6"/>
  <c r="D37" i="6"/>
  <c r="C37" i="6"/>
  <c r="B37" i="6"/>
  <c r="V36" i="6"/>
  <c r="U36" i="6"/>
  <c r="S36" i="6"/>
  <c r="N36" i="6"/>
  <c r="L36" i="6"/>
  <c r="J36" i="6"/>
  <c r="H36" i="6"/>
  <c r="W36" i="6" s="1"/>
  <c r="E36" i="6"/>
  <c r="D36" i="6"/>
  <c r="C36" i="6"/>
  <c r="B36" i="6"/>
  <c r="W33" i="6"/>
  <c r="V33" i="6"/>
  <c r="U33" i="6"/>
  <c r="S33" i="6"/>
  <c r="N33" i="6"/>
  <c r="L33" i="6"/>
  <c r="J33" i="6"/>
  <c r="H33" i="6"/>
  <c r="E33" i="6"/>
  <c r="D33" i="6"/>
  <c r="C33" i="6"/>
  <c r="B33" i="6"/>
  <c r="W31" i="6"/>
  <c r="V31" i="6"/>
  <c r="U31" i="6"/>
  <c r="S31" i="6"/>
  <c r="N31" i="6"/>
  <c r="L31" i="6"/>
  <c r="J31" i="6"/>
  <c r="H31" i="6"/>
  <c r="E31" i="6"/>
  <c r="D31" i="6"/>
  <c r="C31" i="6"/>
  <c r="B31" i="6"/>
  <c r="V30" i="6"/>
  <c r="U30" i="6"/>
  <c r="S30" i="6"/>
  <c r="N30" i="6"/>
  <c r="L30" i="6"/>
  <c r="J30" i="6"/>
  <c r="H30" i="6"/>
  <c r="W30" i="6" s="1"/>
  <c r="E30" i="6"/>
  <c r="D30" i="6"/>
  <c r="C30" i="6"/>
  <c r="B30" i="6"/>
  <c r="B34" i="6"/>
  <c r="C34" i="6"/>
  <c r="D34" i="6"/>
  <c r="E34" i="6"/>
  <c r="H34" i="6"/>
  <c r="J34" i="6"/>
  <c r="L34" i="6"/>
  <c r="N34" i="6"/>
  <c r="S34" i="6"/>
  <c r="U34" i="6"/>
  <c r="V34" i="6"/>
  <c r="W34" i="6"/>
  <c r="B29" i="6"/>
  <c r="C29" i="6"/>
  <c r="D29" i="6"/>
  <c r="E29" i="6"/>
  <c r="H29" i="6"/>
  <c r="W29" i="6" s="1"/>
  <c r="J29" i="6"/>
  <c r="L29" i="6"/>
  <c r="N29" i="6"/>
  <c r="S29" i="6"/>
  <c r="U29" i="6"/>
  <c r="V29" i="6"/>
  <c r="AB25" i="41"/>
  <c r="AB24" i="41"/>
  <c r="AB23" i="41"/>
  <c r="AB18" i="41"/>
  <c r="AB17" i="41"/>
  <c r="AB376" i="41" l="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02" i="41"/>
  <c r="AB526" i="41"/>
  <c r="AB445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20" i="6" l="1"/>
  <c r="V520" i="6"/>
  <c r="U520" i="6"/>
  <c r="S520" i="6"/>
  <c r="N520" i="6"/>
  <c r="L520" i="6"/>
  <c r="J520" i="6"/>
  <c r="H520" i="6"/>
  <c r="E520" i="6"/>
  <c r="D520" i="6"/>
  <c r="C520" i="6"/>
  <c r="B520" i="6"/>
  <c r="AB494" i="41"/>
  <c r="AB464" i="41"/>
  <c r="AB224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AB342" i="41"/>
  <c r="AB265" i="41"/>
  <c r="AB508" i="41"/>
  <c r="W68" i="6"/>
  <c r="V68" i="6"/>
  <c r="U68" i="6"/>
  <c r="S68" i="6"/>
  <c r="N68" i="6"/>
  <c r="L68" i="6"/>
  <c r="J68" i="6"/>
  <c r="H68" i="6"/>
  <c r="E68" i="6"/>
  <c r="D68" i="6"/>
  <c r="C68" i="6"/>
  <c r="B68" i="6"/>
  <c r="AB55" i="41"/>
  <c r="W521" i="6" l="1"/>
  <c r="V521" i="6"/>
  <c r="U521" i="6"/>
  <c r="S521" i="6"/>
  <c r="N521" i="6"/>
  <c r="L521" i="6"/>
  <c r="J521" i="6"/>
  <c r="H521" i="6"/>
  <c r="E521" i="6"/>
  <c r="D521" i="6"/>
  <c r="C521" i="6"/>
  <c r="B521" i="6"/>
  <c r="AB509" i="4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35" i="41"/>
  <c r="AB434" i="41"/>
  <c r="AB251" i="41"/>
  <c r="W54" i="6"/>
  <c r="V54" i="6"/>
  <c r="U54" i="6"/>
  <c r="S54" i="6"/>
  <c r="N54" i="6"/>
  <c r="L54" i="6"/>
  <c r="J54" i="6"/>
  <c r="H54" i="6"/>
  <c r="E54" i="6"/>
  <c r="D54" i="6"/>
  <c r="C54" i="6"/>
  <c r="B54" i="6"/>
  <c r="AB166" i="41"/>
  <c r="AB41" i="41"/>
  <c r="W522" i="6" l="1"/>
  <c r="V522" i="6"/>
  <c r="U522" i="6"/>
  <c r="S522" i="6"/>
  <c r="N522" i="6"/>
  <c r="L522" i="6"/>
  <c r="J522" i="6"/>
  <c r="H522" i="6"/>
  <c r="E522" i="6"/>
  <c r="D522" i="6"/>
  <c r="C522" i="6"/>
  <c r="B522" i="6"/>
  <c r="AB510" i="41"/>
  <c r="AB492" i="41"/>
  <c r="W458" i="6"/>
  <c r="V458" i="6"/>
  <c r="U458" i="6"/>
  <c r="S458" i="6"/>
  <c r="N458" i="6"/>
  <c r="L458" i="6"/>
  <c r="J458" i="6"/>
  <c r="H458" i="6"/>
  <c r="E458" i="6"/>
  <c r="D458" i="6"/>
  <c r="C458" i="6"/>
  <c r="B458" i="6"/>
  <c r="AB446" i="41"/>
  <c r="AB443" i="41"/>
  <c r="AB411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AB361" i="41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03" i="41"/>
  <c r="W467" i="6"/>
  <c r="V467" i="6"/>
  <c r="U467" i="6"/>
  <c r="S467" i="6"/>
  <c r="N467" i="6"/>
  <c r="L467" i="6"/>
  <c r="J467" i="6"/>
  <c r="H467" i="6"/>
  <c r="E467" i="6"/>
  <c r="D467" i="6"/>
  <c r="C467" i="6"/>
  <c r="B467" i="6"/>
  <c r="AB455" i="41"/>
  <c r="AB45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W345" i="6"/>
  <c r="V345" i="6"/>
  <c r="U345" i="6"/>
  <c r="S345" i="6"/>
  <c r="N345" i="6"/>
  <c r="L345" i="6"/>
  <c r="J345" i="6"/>
  <c r="H345" i="6"/>
  <c r="E345" i="6"/>
  <c r="D345" i="6"/>
  <c r="C345" i="6"/>
  <c r="B345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2" i="41"/>
  <c r="W43" i="6"/>
  <c r="V43" i="6"/>
  <c r="U43" i="6"/>
  <c r="S43" i="6"/>
  <c r="N43" i="6"/>
  <c r="L43" i="6"/>
  <c r="J43" i="6"/>
  <c r="H43" i="6"/>
  <c r="E43" i="6"/>
  <c r="D43" i="6"/>
  <c r="C43" i="6"/>
  <c r="B43" i="6"/>
  <c r="AB30" i="41"/>
  <c r="W526" i="6"/>
  <c r="V526" i="6"/>
  <c r="U526" i="6"/>
  <c r="S526" i="6"/>
  <c r="N526" i="6"/>
  <c r="L526" i="6"/>
  <c r="J526" i="6"/>
  <c r="H526" i="6"/>
  <c r="E526" i="6"/>
  <c r="D526" i="6"/>
  <c r="C526" i="6"/>
  <c r="B526" i="6"/>
  <c r="AB514" i="41"/>
  <c r="W192" i="6"/>
  <c r="V192" i="6"/>
  <c r="U192" i="6"/>
  <c r="S192" i="6"/>
  <c r="N192" i="6"/>
  <c r="L192" i="6"/>
  <c r="J192" i="6"/>
  <c r="H192" i="6"/>
  <c r="E192" i="6"/>
  <c r="D192" i="6"/>
  <c r="C192" i="6"/>
  <c r="B192" i="6"/>
  <c r="AB179" i="41"/>
  <c r="AB300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491" i="41"/>
  <c r="AB462" i="41"/>
  <c r="W519" i="6"/>
  <c r="V519" i="6"/>
  <c r="U519" i="6"/>
  <c r="S519" i="6"/>
  <c r="N519" i="6"/>
  <c r="L519" i="6"/>
  <c r="J519" i="6"/>
  <c r="H519" i="6"/>
  <c r="E519" i="6"/>
  <c r="D519" i="6"/>
  <c r="C519" i="6"/>
  <c r="B519" i="6"/>
  <c r="AB507" i="41"/>
  <c r="AB490" i="41"/>
  <c r="AB517" i="41"/>
  <c r="AB409" i="41"/>
  <c r="AB392" i="41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287" i="41"/>
  <c r="AB439" i="41" l="1"/>
  <c r="AB417" i="41" l="1"/>
  <c r="AB403" i="41" l="1"/>
  <c r="W70" i="6" l="1"/>
  <c r="V70" i="6"/>
  <c r="U70" i="6"/>
  <c r="S70" i="6"/>
  <c r="N70" i="6"/>
  <c r="L70" i="6"/>
  <c r="J70" i="6"/>
  <c r="H70" i="6"/>
  <c r="E70" i="6"/>
  <c r="D70" i="6"/>
  <c r="C70" i="6"/>
  <c r="B70" i="6"/>
  <c r="AB57" i="41"/>
  <c r="AB531" i="41"/>
  <c r="AB340" i="41"/>
  <c r="W123" i="6" l="1"/>
  <c r="V123" i="6"/>
  <c r="U123" i="6"/>
  <c r="S123" i="6"/>
  <c r="N123" i="6"/>
  <c r="L123" i="6"/>
  <c r="J123" i="6"/>
  <c r="H123" i="6"/>
  <c r="E123" i="6"/>
  <c r="D123" i="6"/>
  <c r="C123" i="6"/>
  <c r="B123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AB382" i="41"/>
  <c r="AB380" i="41"/>
  <c r="AB379" i="41"/>
  <c r="AB378" i="41"/>
  <c r="AB375" i="41"/>
  <c r="AB374" i="41"/>
  <c r="AB373" i="41"/>
  <c r="AB372" i="41"/>
  <c r="AB371" i="41"/>
  <c r="AB370" i="41"/>
  <c r="AB500" i="41"/>
  <c r="AB499" i="41"/>
  <c r="AB498" i="41"/>
  <c r="AB497" i="41"/>
  <c r="AB496" i="41"/>
  <c r="AB493" i="41"/>
  <c r="AB488" i="41"/>
  <c r="AB484" i="41"/>
  <c r="AB536" i="41"/>
  <c r="AB540" i="41"/>
  <c r="AB538" i="41"/>
  <c r="AB534" i="41"/>
  <c r="AB532" i="41"/>
  <c r="AB530" i="41"/>
  <c r="AB520" i="41"/>
  <c r="AB519" i="41"/>
  <c r="AB518" i="41"/>
  <c r="AB460" i="41"/>
  <c r="AB459" i="41"/>
  <c r="AB461" i="41"/>
  <c r="AB458" i="41"/>
  <c r="AB440" i="41"/>
  <c r="AB437" i="41"/>
  <c r="AB438" i="41"/>
  <c r="AB426" i="41"/>
  <c r="AB425" i="41"/>
  <c r="AB424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14" i="41"/>
  <c r="AB415" i="41"/>
  <c r="AB418" i="41"/>
  <c r="AB405" i="41"/>
  <c r="AB398" i="41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39" i="6"/>
  <c r="V239" i="6"/>
  <c r="U239" i="6"/>
  <c r="S239" i="6"/>
  <c r="N239" i="6"/>
  <c r="L239" i="6"/>
  <c r="J239" i="6"/>
  <c r="H239" i="6"/>
  <c r="E239" i="6"/>
  <c r="D239" i="6"/>
  <c r="C239" i="6"/>
  <c r="B23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239" i="41"/>
  <c r="AB238" i="41"/>
  <c r="AB234" i="41"/>
  <c r="AB226" i="41"/>
  <c r="AB215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AB211" i="41"/>
  <c r="AB209" i="41"/>
  <c r="AB200" i="41"/>
  <c r="AB199" i="41"/>
  <c r="AB198" i="41"/>
  <c r="AB188" i="41"/>
  <c r="AB184" i="41"/>
  <c r="AB183" i="41"/>
  <c r="AB182" i="41"/>
  <c r="AB181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97" i="41"/>
  <c r="AB299" i="41"/>
  <c r="AB296" i="41"/>
  <c r="AB292" i="41"/>
  <c r="AB291" i="41"/>
  <c r="AB290" i="41"/>
  <c r="AB289" i="41"/>
  <c r="AB285" i="41"/>
  <c r="AB284" i="41"/>
  <c r="AB283" i="41"/>
  <c r="AB282" i="41"/>
  <c r="AB281" i="41"/>
  <c r="AB353" i="41"/>
  <c r="AB352" i="41"/>
  <c r="AB351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8" i="41"/>
  <c r="AB267" i="41"/>
  <c r="AB264" i="41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6" i="41"/>
  <c r="AB327" i="41"/>
  <c r="AB328" i="41"/>
  <c r="AB330" i="41"/>
  <c r="AB329" i="41"/>
  <c r="AB325" i="41"/>
  <c r="AB323" i="41"/>
  <c r="AB322" i="41"/>
  <c r="AB321" i="41"/>
  <c r="AB320" i="41"/>
  <c r="AB319" i="41"/>
  <c r="AB318" i="41"/>
  <c r="AB317" i="41"/>
  <c r="AB313" i="41"/>
  <c r="AB312" i="41"/>
  <c r="AB311" i="41"/>
  <c r="AB310" i="41"/>
  <c r="AB309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39" i="41"/>
  <c r="AB136" i="41"/>
  <c r="AB135" i="41"/>
  <c r="AB134" i="41"/>
  <c r="AB133" i="41"/>
  <c r="AB132" i="41"/>
  <c r="AB131" i="41"/>
  <c r="AB130" i="41"/>
  <c r="AB110" i="41"/>
  <c r="AB109" i="41"/>
  <c r="AB108" i="41"/>
  <c r="AB107" i="41"/>
  <c r="AB83" i="41"/>
  <c r="W182" i="6"/>
  <c r="V182" i="6"/>
  <c r="U182" i="6"/>
  <c r="S182" i="6"/>
  <c r="N182" i="6"/>
  <c r="L182" i="6"/>
  <c r="J182" i="6"/>
  <c r="H182" i="6"/>
  <c r="E182" i="6"/>
  <c r="D182" i="6"/>
  <c r="C182" i="6"/>
  <c r="B182" i="6"/>
  <c r="AB171" i="41"/>
  <c r="AB173" i="41"/>
  <c r="AB172" i="41"/>
  <c r="AB170" i="41"/>
  <c r="AB169" i="41"/>
  <c r="AB385" i="41" l="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AB20" i="41"/>
  <c r="AB501" i="41" l="1"/>
  <c r="AB120" i="41"/>
  <c r="AB121" i="41"/>
  <c r="AB125" i="41"/>
  <c r="B86" i="6"/>
  <c r="C86" i="6"/>
  <c r="D86" i="6"/>
  <c r="E86" i="6"/>
  <c r="H86" i="6"/>
  <c r="J86" i="6"/>
  <c r="L86" i="6"/>
  <c r="N86" i="6"/>
  <c r="S86" i="6"/>
  <c r="U86" i="6"/>
  <c r="V86" i="6"/>
  <c r="W86" i="6"/>
  <c r="W77" i="6"/>
  <c r="V77" i="6"/>
  <c r="U77" i="6"/>
  <c r="S77" i="6"/>
  <c r="N77" i="6"/>
  <c r="L77" i="6"/>
  <c r="J77" i="6"/>
  <c r="H77" i="6"/>
  <c r="E77" i="6"/>
  <c r="D77" i="6"/>
  <c r="C77" i="6"/>
  <c r="B77" i="6"/>
  <c r="AB72" i="41"/>
  <c r="AB64" i="41"/>
  <c r="W273" i="6"/>
  <c r="V273" i="6"/>
  <c r="U273" i="6"/>
  <c r="S273" i="6"/>
  <c r="N273" i="6"/>
  <c r="L273" i="6"/>
  <c r="J273" i="6"/>
  <c r="H273" i="6"/>
  <c r="E273" i="6"/>
  <c r="D273" i="6"/>
  <c r="C273" i="6"/>
  <c r="B27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466" i="6" l="1"/>
  <c r="V466" i="6"/>
  <c r="U466" i="6"/>
  <c r="S466" i="6"/>
  <c r="N466" i="6"/>
  <c r="L466" i="6"/>
  <c r="J466" i="6"/>
  <c r="H466" i="6"/>
  <c r="E466" i="6"/>
  <c r="D466" i="6"/>
  <c r="C466" i="6"/>
  <c r="B466" i="6"/>
  <c r="W104" i="6"/>
  <c r="V104" i="6"/>
  <c r="U104" i="6"/>
  <c r="S104" i="6"/>
  <c r="N104" i="6"/>
  <c r="L104" i="6"/>
  <c r="J104" i="6"/>
  <c r="H104" i="6"/>
  <c r="E104" i="6"/>
  <c r="D104" i="6"/>
  <c r="C104" i="6"/>
  <c r="B104" i="6"/>
  <c r="AB454" i="41"/>
  <c r="AB91" i="41"/>
  <c r="W525" i="6"/>
  <c r="V525" i="6"/>
  <c r="U525" i="6"/>
  <c r="S525" i="6"/>
  <c r="N525" i="6"/>
  <c r="L525" i="6"/>
  <c r="J525" i="6"/>
  <c r="H525" i="6"/>
  <c r="E525" i="6"/>
  <c r="D525" i="6"/>
  <c r="C525" i="6"/>
  <c r="B525" i="6"/>
  <c r="AB513" i="41"/>
  <c r="W218" i="6"/>
  <c r="V218" i="6"/>
  <c r="U218" i="6"/>
  <c r="S218" i="6"/>
  <c r="N218" i="6"/>
  <c r="L218" i="6"/>
  <c r="J218" i="6"/>
  <c r="H218" i="6"/>
  <c r="E218" i="6"/>
  <c r="D218" i="6"/>
  <c r="C218" i="6"/>
  <c r="B218" i="6"/>
  <c r="AB205" i="41"/>
  <c r="W53" i="6"/>
  <c r="V53" i="6"/>
  <c r="U53" i="6"/>
  <c r="S53" i="6"/>
  <c r="N53" i="6"/>
  <c r="L53" i="6"/>
  <c r="J53" i="6"/>
  <c r="H53" i="6"/>
  <c r="E53" i="6"/>
  <c r="D53" i="6"/>
  <c r="C53" i="6"/>
  <c r="B53" i="6"/>
  <c r="W55" i="6"/>
  <c r="V55" i="6"/>
  <c r="U55" i="6"/>
  <c r="S55" i="6"/>
  <c r="N55" i="6"/>
  <c r="L55" i="6"/>
  <c r="J55" i="6"/>
  <c r="H55" i="6"/>
  <c r="E55" i="6"/>
  <c r="D55" i="6"/>
  <c r="C55" i="6"/>
  <c r="B55" i="6"/>
  <c r="AB40" i="41"/>
  <c r="AB42" i="41"/>
  <c r="AB79" i="41"/>
  <c r="W250" i="6" l="1"/>
  <c r="V250" i="6"/>
  <c r="U250" i="6"/>
  <c r="S250" i="6"/>
  <c r="N250" i="6"/>
  <c r="L250" i="6"/>
  <c r="J250" i="6"/>
  <c r="H250" i="6"/>
  <c r="E250" i="6"/>
  <c r="D250" i="6"/>
  <c r="C250" i="6"/>
  <c r="B250" i="6"/>
  <c r="AB237" i="41"/>
  <c r="AB164" i="41"/>
  <c r="AB260" i="41"/>
  <c r="AB467" i="41"/>
  <c r="AB485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V375" i="6"/>
  <c r="U375" i="6"/>
  <c r="S375" i="6"/>
  <c r="N375" i="6"/>
  <c r="L375" i="6"/>
  <c r="J375" i="6"/>
  <c r="H375" i="6"/>
  <c r="E375" i="6"/>
  <c r="D375" i="6"/>
  <c r="C375" i="6"/>
  <c r="B375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69" i="6"/>
  <c r="V69" i="6"/>
  <c r="U69" i="6"/>
  <c r="S69" i="6"/>
  <c r="N69" i="6"/>
  <c r="L69" i="6"/>
  <c r="J69" i="6"/>
  <c r="H69" i="6"/>
  <c r="E69" i="6"/>
  <c r="D69" i="6"/>
  <c r="C69" i="6"/>
  <c r="B69" i="6"/>
  <c r="W65" i="6"/>
  <c r="V65" i="6"/>
  <c r="U65" i="6"/>
  <c r="S65" i="6"/>
  <c r="N65" i="6"/>
  <c r="L65" i="6"/>
  <c r="J65" i="6"/>
  <c r="H65" i="6"/>
  <c r="E65" i="6"/>
  <c r="D65" i="6"/>
  <c r="C65" i="6"/>
  <c r="B65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V60" i="6"/>
  <c r="U60" i="6"/>
  <c r="S60" i="6"/>
  <c r="N60" i="6"/>
  <c r="L60" i="6"/>
  <c r="J60" i="6"/>
  <c r="H60" i="6"/>
  <c r="E60" i="6"/>
  <c r="D60" i="6"/>
  <c r="C60" i="6"/>
  <c r="B60" i="6"/>
  <c r="V59" i="6"/>
  <c r="U59" i="6"/>
  <c r="S59" i="6"/>
  <c r="N59" i="6"/>
  <c r="L59" i="6"/>
  <c r="J59" i="6"/>
  <c r="H59" i="6"/>
  <c r="E59" i="6"/>
  <c r="D59" i="6"/>
  <c r="C59" i="6"/>
  <c r="B59" i="6"/>
  <c r="W58" i="6"/>
  <c r="V58" i="6"/>
  <c r="U58" i="6"/>
  <c r="S58" i="6"/>
  <c r="N58" i="6"/>
  <c r="L58" i="6"/>
  <c r="J58" i="6"/>
  <c r="H58" i="6"/>
  <c r="E58" i="6"/>
  <c r="D58" i="6"/>
  <c r="C58" i="6"/>
  <c r="B58" i="6"/>
  <c r="W57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W52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V49" i="6"/>
  <c r="U49" i="6"/>
  <c r="S49" i="6"/>
  <c r="N49" i="6"/>
  <c r="L49" i="6"/>
  <c r="J49" i="6"/>
  <c r="H49" i="6"/>
  <c r="E49" i="6"/>
  <c r="D49" i="6"/>
  <c r="C49" i="6"/>
  <c r="B49" i="6"/>
  <c r="W48" i="6"/>
  <c r="V48" i="6"/>
  <c r="U48" i="6"/>
  <c r="S48" i="6"/>
  <c r="N48" i="6"/>
  <c r="L48" i="6"/>
  <c r="J48" i="6"/>
  <c r="H48" i="6"/>
  <c r="E48" i="6"/>
  <c r="D48" i="6"/>
  <c r="C48" i="6"/>
  <c r="B48" i="6"/>
  <c r="V47" i="6"/>
  <c r="U47" i="6"/>
  <c r="S47" i="6"/>
  <c r="N47" i="6"/>
  <c r="L47" i="6"/>
  <c r="J47" i="6"/>
  <c r="H47" i="6"/>
  <c r="E47" i="6"/>
  <c r="D47" i="6"/>
  <c r="C47" i="6"/>
  <c r="B47" i="6"/>
  <c r="W44" i="6"/>
  <c r="V44" i="6"/>
  <c r="U44" i="6"/>
  <c r="S44" i="6"/>
  <c r="N44" i="6"/>
  <c r="L44" i="6"/>
  <c r="J44" i="6"/>
  <c r="H44" i="6"/>
  <c r="E44" i="6"/>
  <c r="D44" i="6"/>
  <c r="C44" i="6"/>
  <c r="B44" i="6"/>
  <c r="AB116" i="41"/>
  <c r="AB383" i="41"/>
  <c r="AB367" i="41"/>
  <c r="AB366" i="41"/>
  <c r="AB413" i="41"/>
  <c r="AB410" i="41"/>
  <c r="AB400" i="41"/>
  <c r="AB399" i="41"/>
  <c r="AB395" i="41"/>
  <c r="AB391" i="41"/>
  <c r="AB305" i="41"/>
  <c r="AB304" i="41"/>
  <c r="AB506" i="41"/>
  <c r="AB504" i="41"/>
  <c r="AB495" i="41"/>
  <c r="AB489" i="41"/>
  <c r="AB486" i="41"/>
  <c r="AB539" i="41"/>
  <c r="AB521" i="41"/>
  <c r="AB515" i="41"/>
  <c r="AB451" i="41"/>
  <c r="AB444" i="41"/>
  <c r="AB442" i="41"/>
  <c r="AB441" i="41"/>
  <c r="AB436" i="41"/>
  <c r="AB422" i="41"/>
  <c r="AB421" i="41"/>
  <c r="AB258" i="41"/>
  <c r="AB256" i="41"/>
  <c r="AB255" i="41"/>
  <c r="AB252" i="41"/>
  <c r="AB250" i="41"/>
  <c r="AB249" i="41"/>
  <c r="AB248" i="41"/>
  <c r="AB247" i="41"/>
  <c r="AB244" i="41"/>
  <c r="AB243" i="41"/>
  <c r="AB363" i="41"/>
  <c r="AB362" i="41"/>
  <c r="AB360" i="41"/>
  <c r="AB359" i="41"/>
  <c r="AB356" i="41"/>
  <c r="AB355" i="41"/>
  <c r="AB345" i="41"/>
  <c r="AB343" i="41"/>
  <c r="AB341" i="41"/>
  <c r="AB339" i="41"/>
  <c r="AB338" i="41"/>
  <c r="AB337" i="41"/>
  <c r="AB336" i="41"/>
  <c r="AB335" i="41"/>
  <c r="AB144" i="41"/>
  <c r="AB141" i="41"/>
  <c r="AB127" i="41"/>
  <c r="AB126" i="41"/>
  <c r="AB119" i="41"/>
  <c r="AB118" i="41"/>
  <c r="AB481" i="41"/>
  <c r="AB472" i="41"/>
  <c r="AB471" i="41"/>
  <c r="AB470" i="41"/>
  <c r="AB466" i="41"/>
  <c r="AB463" i="41"/>
  <c r="AB456" i="41"/>
  <c r="AB288" i="41"/>
  <c r="AB294" i="41"/>
  <c r="AB293" i="41"/>
  <c r="AB275" i="41"/>
  <c r="AB274" i="41"/>
  <c r="AB271" i="41"/>
  <c r="AB100" i="41"/>
  <c r="AB89" i="41"/>
  <c r="AB168" i="41"/>
  <c r="AB167" i="41"/>
  <c r="AB162" i="41"/>
  <c r="AB159" i="41"/>
  <c r="AB157" i="41"/>
  <c r="AB156" i="41"/>
  <c r="AB155" i="41"/>
  <c r="AB154" i="41"/>
  <c r="AB150" i="41"/>
  <c r="AB148" i="41"/>
  <c r="AB202" i="41"/>
  <c r="AB192" i="41"/>
  <c r="AB203" i="41"/>
  <c r="AB187" i="41"/>
  <c r="AB176" i="41"/>
  <c r="AB240" i="41"/>
  <c r="AB235" i="41"/>
  <c r="AB221" i="41"/>
  <c r="AB222" i="41"/>
  <c r="AB219" i="41"/>
  <c r="AB218" i="41"/>
  <c r="AB216" i="41"/>
  <c r="AB214" i="41"/>
  <c r="AB59" i="41"/>
  <c r="AB58" i="41"/>
  <c r="AB56" i="41"/>
  <c r="AB52" i="41"/>
  <c r="AB50" i="41"/>
  <c r="AB49" i="41"/>
  <c r="AB48" i="41"/>
  <c r="AB47" i="41"/>
  <c r="AB46" i="41"/>
  <c r="AB45" i="41"/>
  <c r="AB44" i="41"/>
  <c r="AB43" i="41"/>
  <c r="AB39" i="41"/>
  <c r="AB38" i="41"/>
  <c r="AB36" i="41"/>
  <c r="AB35" i="41"/>
  <c r="AB34" i="41"/>
  <c r="AB31" i="41"/>
  <c r="AB66" i="41"/>
  <c r="AB67" i="41"/>
  <c r="AB68" i="41"/>
  <c r="AB69" i="41"/>
  <c r="AB70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AB81" i="41" l="1"/>
  <c r="W382" i="6" l="1"/>
  <c r="V382" i="6"/>
  <c r="U382" i="6"/>
  <c r="S382" i="6"/>
  <c r="N382" i="6"/>
  <c r="L382" i="6"/>
  <c r="J382" i="6"/>
  <c r="H382" i="6"/>
  <c r="E382" i="6"/>
  <c r="D382" i="6"/>
  <c r="C382" i="6"/>
  <c r="B382" i="6"/>
  <c r="AB369" i="41"/>
  <c r="AB27" i="41"/>
  <c r="AB16" i="41" l="1"/>
  <c r="B74" i="6" l="1"/>
  <c r="W397" i="6" l="1"/>
  <c r="V397" i="6"/>
  <c r="U397" i="6"/>
  <c r="S397" i="6"/>
  <c r="N397" i="6"/>
  <c r="L397" i="6"/>
  <c r="J397" i="6"/>
  <c r="H397" i="6"/>
  <c r="E397" i="6"/>
  <c r="D397" i="6"/>
  <c r="C397" i="6"/>
  <c r="B397" i="6"/>
  <c r="AB384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AB92" i="41"/>
  <c r="AB21" i="41"/>
  <c r="W204" i="6" l="1"/>
  <c r="V204" i="6"/>
  <c r="U204" i="6"/>
  <c r="S204" i="6"/>
  <c r="N204" i="6"/>
  <c r="L204" i="6"/>
  <c r="J204" i="6"/>
  <c r="H204" i="6"/>
  <c r="E204" i="6"/>
  <c r="D204" i="6"/>
  <c r="C204" i="6"/>
  <c r="B204" i="6"/>
  <c r="AB191" i="41"/>
  <c r="W79" i="6"/>
  <c r="V79" i="6"/>
  <c r="U79" i="6"/>
  <c r="S79" i="6"/>
  <c r="N79" i="6"/>
  <c r="L79" i="6"/>
  <c r="J79" i="6"/>
  <c r="H79" i="6"/>
  <c r="E79" i="6"/>
  <c r="D79" i="6"/>
  <c r="C79" i="6"/>
  <c r="B79" i="6"/>
  <c r="AB82" i="41" l="1"/>
  <c r="W20" i="6" l="1"/>
  <c r="V20" i="6"/>
  <c r="U20" i="6"/>
  <c r="S20" i="6"/>
  <c r="N20" i="6"/>
  <c r="L20" i="6"/>
  <c r="J20" i="6"/>
  <c r="H20" i="6"/>
  <c r="E20" i="6"/>
  <c r="D20" i="6"/>
  <c r="C20" i="6"/>
  <c r="B20" i="6"/>
  <c r="AB7" i="41"/>
  <c r="AB346" i="41" l="1"/>
  <c r="W405" i="6"/>
  <c r="V405" i="6"/>
  <c r="U405" i="6"/>
  <c r="S405" i="6"/>
  <c r="N405" i="6"/>
  <c r="L405" i="6"/>
  <c r="J405" i="6"/>
  <c r="H405" i="6"/>
  <c r="E405" i="6"/>
  <c r="D405" i="6"/>
  <c r="C405" i="6"/>
  <c r="B405" i="6"/>
  <c r="AB393" i="41"/>
  <c r="V66" i="6" l="1"/>
  <c r="U66" i="6"/>
  <c r="S66" i="6"/>
  <c r="N66" i="6"/>
  <c r="L66" i="6"/>
  <c r="J66" i="6"/>
  <c r="H66" i="6"/>
  <c r="E66" i="6"/>
  <c r="D66" i="6"/>
  <c r="C66" i="6"/>
  <c r="B66" i="6"/>
  <c r="AB53" i="41"/>
  <c r="W435" i="6" l="1"/>
  <c r="V435" i="6"/>
  <c r="U435" i="6"/>
  <c r="S435" i="6"/>
  <c r="N435" i="6"/>
  <c r="L435" i="6"/>
  <c r="J435" i="6"/>
  <c r="H435" i="6"/>
  <c r="E435" i="6"/>
  <c r="D435" i="6"/>
  <c r="C435" i="6"/>
  <c r="B435" i="6"/>
  <c r="AB423" i="41"/>
  <c r="W114" i="6" l="1"/>
  <c r="V114" i="6"/>
  <c r="U114" i="6"/>
  <c r="S114" i="6"/>
  <c r="N114" i="6"/>
  <c r="L114" i="6"/>
  <c r="J114" i="6"/>
  <c r="H114" i="6"/>
  <c r="E114" i="6"/>
  <c r="D114" i="6"/>
  <c r="C114" i="6"/>
  <c r="B114" i="6"/>
  <c r="V469" i="6"/>
  <c r="U469" i="6"/>
  <c r="S469" i="6"/>
  <c r="N469" i="6"/>
  <c r="L469" i="6"/>
  <c r="J469" i="6"/>
  <c r="H469" i="6"/>
  <c r="E469" i="6"/>
  <c r="D469" i="6"/>
  <c r="C469" i="6"/>
  <c r="B469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259" i="6"/>
  <c r="V259" i="6"/>
  <c r="U259" i="6"/>
  <c r="S259" i="6"/>
  <c r="N259" i="6"/>
  <c r="L259" i="6"/>
  <c r="J259" i="6"/>
  <c r="H259" i="6"/>
  <c r="E259" i="6"/>
  <c r="D259" i="6"/>
  <c r="C259" i="6"/>
  <c r="B259" i="6"/>
  <c r="AB165" i="41" l="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" i="6"/>
  <c r="V22" i="6"/>
  <c r="U22" i="6"/>
  <c r="S22" i="6"/>
  <c r="N22" i="6"/>
  <c r="L22" i="6"/>
  <c r="J22" i="6"/>
  <c r="H22" i="6"/>
  <c r="E22" i="6"/>
  <c r="D22" i="6"/>
  <c r="C22" i="6"/>
  <c r="B22" i="6"/>
  <c r="B19" i="6"/>
  <c r="C19" i="6"/>
  <c r="D19" i="6"/>
  <c r="E19" i="6"/>
  <c r="H19" i="6"/>
  <c r="J19" i="6"/>
  <c r="L19" i="6"/>
  <c r="N19" i="6"/>
  <c r="S19" i="6"/>
  <c r="U19" i="6"/>
  <c r="V19" i="6"/>
  <c r="W19" i="6"/>
  <c r="AB333" i="41"/>
  <c r="AB334" i="41"/>
  <c r="AB358" i="41"/>
  <c r="AB101" i="41" l="1"/>
  <c r="W255" i="6" l="1"/>
  <c r="V255" i="6"/>
  <c r="U255" i="6"/>
  <c r="S255" i="6"/>
  <c r="N255" i="6"/>
  <c r="L255" i="6"/>
  <c r="J255" i="6"/>
  <c r="H255" i="6"/>
  <c r="E255" i="6"/>
  <c r="D255" i="6"/>
  <c r="C255" i="6"/>
  <c r="B255" i="6"/>
  <c r="AB217" i="41"/>
  <c r="W524" i="6"/>
  <c r="V524" i="6"/>
  <c r="U524" i="6"/>
  <c r="S524" i="6"/>
  <c r="N524" i="6"/>
  <c r="L524" i="6"/>
  <c r="J524" i="6"/>
  <c r="H524" i="6"/>
  <c r="E524" i="6"/>
  <c r="D524" i="6"/>
  <c r="C524" i="6"/>
  <c r="B524" i="6"/>
  <c r="AB512" i="41"/>
  <c r="W308" i="6" l="1"/>
  <c r="V308" i="6"/>
  <c r="U308" i="6"/>
  <c r="S308" i="6"/>
  <c r="N308" i="6"/>
  <c r="L308" i="6"/>
  <c r="J308" i="6"/>
  <c r="H308" i="6"/>
  <c r="E308" i="6"/>
  <c r="D308" i="6"/>
  <c r="C308" i="6"/>
  <c r="B308" i="6"/>
  <c r="AB295" i="41"/>
  <c r="V75" i="6" l="1"/>
  <c r="U75" i="6"/>
  <c r="S75" i="6"/>
  <c r="N75" i="6"/>
  <c r="L75" i="6"/>
  <c r="J75" i="6"/>
  <c r="H75" i="6"/>
  <c r="E75" i="6"/>
  <c r="D75" i="6"/>
  <c r="C75" i="6"/>
  <c r="B75" i="6"/>
  <c r="AB447" i="41"/>
  <c r="AB11" i="41"/>
  <c r="AB129" i="41" l="1"/>
  <c r="AB128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69" i="41"/>
  <c r="AB457" i="41"/>
  <c r="AB453" i="41"/>
  <c r="W226" i="6"/>
  <c r="V226" i="6"/>
  <c r="U226" i="6"/>
  <c r="S226" i="6"/>
  <c r="N226" i="6"/>
  <c r="L226" i="6"/>
  <c r="J226" i="6"/>
  <c r="H226" i="6"/>
  <c r="E226" i="6"/>
  <c r="D226" i="6"/>
  <c r="C226" i="6"/>
  <c r="B226" i="6"/>
  <c r="AB242" i="41"/>
  <c r="AB246" i="41"/>
  <c r="V46" i="6"/>
  <c r="U46" i="6"/>
  <c r="S46" i="6"/>
  <c r="N46" i="6"/>
  <c r="L46" i="6"/>
  <c r="J46" i="6"/>
  <c r="H46" i="6"/>
  <c r="E46" i="6"/>
  <c r="D46" i="6"/>
  <c r="C46" i="6"/>
  <c r="B46" i="6"/>
  <c r="AB33" i="41"/>
  <c r="C488" i="6" l="1"/>
  <c r="W339" i="6"/>
  <c r="V339" i="6"/>
  <c r="U339" i="6"/>
  <c r="S339" i="6"/>
  <c r="N339" i="6"/>
  <c r="L339" i="6"/>
  <c r="J339" i="6"/>
  <c r="H339" i="6"/>
  <c r="E339" i="6"/>
  <c r="D339" i="6"/>
  <c r="C339" i="6"/>
  <c r="B339" i="6"/>
  <c r="C329" i="6"/>
  <c r="C319" i="6"/>
  <c r="C315" i="6"/>
  <c r="C517" i="6"/>
  <c r="C499" i="6"/>
  <c r="W499" i="6"/>
  <c r="V499" i="6"/>
  <c r="U499" i="6"/>
  <c r="S499" i="6"/>
  <c r="N499" i="6"/>
  <c r="L499" i="6"/>
  <c r="J499" i="6"/>
  <c r="H499" i="6"/>
  <c r="E499" i="6"/>
  <c r="D499" i="6"/>
  <c r="B499" i="6"/>
  <c r="C495" i="6"/>
  <c r="C528" i="6"/>
  <c r="C153" i="6" l="1"/>
  <c r="C130" i="6"/>
  <c r="C96" i="6"/>
  <c r="C74" i="6"/>
  <c r="C101" i="6"/>
  <c r="C276" i="6"/>
  <c r="C267" i="6"/>
  <c r="C426" i="6"/>
  <c r="C403" i="6"/>
  <c r="C193" i="6"/>
  <c r="C188" i="6"/>
  <c r="C371" i="6"/>
  <c r="C359" i="6"/>
  <c r="C347" i="6"/>
  <c r="C42" i="6"/>
  <c r="C390" i="6"/>
  <c r="C378" i="6"/>
  <c r="C432" i="6"/>
  <c r="AB487" i="41"/>
  <c r="AB73" i="41"/>
  <c r="C159" i="6"/>
  <c r="C299" i="6"/>
  <c r="C283" i="6"/>
  <c r="AB9" i="41"/>
  <c r="C21" i="6"/>
  <c r="C16" i="6"/>
  <c r="AB452" i="41" l="1"/>
  <c r="B225" i="6" l="1"/>
  <c r="W426" i="6" l="1"/>
  <c r="V426" i="6"/>
  <c r="U426" i="6"/>
  <c r="S426" i="6"/>
  <c r="N426" i="6"/>
  <c r="L426" i="6"/>
  <c r="J426" i="6"/>
  <c r="H426" i="6"/>
  <c r="E426" i="6"/>
  <c r="D426" i="6"/>
  <c r="B426" i="6"/>
  <c r="AB80" i="41" l="1"/>
  <c r="AB10" i="41"/>
  <c r="AB62" i="41"/>
  <c r="AB87" i="41" l="1"/>
  <c r="G40" i="8" l="1"/>
  <c r="C28" i="8"/>
  <c r="G43" i="8" l="1"/>
  <c r="W517" i="6" l="1"/>
  <c r="V517" i="6"/>
  <c r="U517" i="6"/>
  <c r="S517" i="6"/>
  <c r="N517" i="6"/>
  <c r="L517" i="6"/>
  <c r="J517" i="6"/>
  <c r="H517" i="6"/>
  <c r="E517" i="6"/>
  <c r="D517" i="6"/>
  <c r="B517" i="6"/>
  <c r="AB505" i="41"/>
  <c r="W371" i="6" l="1"/>
  <c r="V371" i="6"/>
  <c r="U371" i="6"/>
  <c r="S371" i="6"/>
  <c r="N371" i="6"/>
  <c r="L371" i="6"/>
  <c r="J371" i="6"/>
  <c r="H371" i="6"/>
  <c r="E371" i="6"/>
  <c r="D371" i="6"/>
  <c r="B371" i="6"/>
  <c r="V359" i="6"/>
  <c r="U359" i="6"/>
  <c r="S359" i="6"/>
  <c r="N359" i="6"/>
  <c r="L359" i="6"/>
  <c r="J359" i="6"/>
  <c r="H359" i="6"/>
  <c r="E359" i="6"/>
  <c r="D359" i="6"/>
  <c r="B359" i="6"/>
  <c r="W21" i="6" l="1"/>
  <c r="V21" i="6"/>
  <c r="U21" i="6"/>
  <c r="S21" i="6"/>
  <c r="N21" i="6"/>
  <c r="L21" i="6"/>
  <c r="J21" i="6"/>
  <c r="H21" i="6"/>
  <c r="E21" i="6"/>
  <c r="D21" i="6"/>
  <c r="B21" i="6"/>
  <c r="AB60" i="41" l="1"/>
  <c r="AB6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2" i="6"/>
  <c r="D16" i="6"/>
  <c r="C1" i="39"/>
  <c r="D1" i="39"/>
  <c r="C7" i="39"/>
  <c r="D7" i="39"/>
  <c r="D378" i="6"/>
  <c r="D390" i="6"/>
  <c r="D283" i="6"/>
  <c r="D299" i="6"/>
  <c r="D159" i="6"/>
  <c r="D130" i="6"/>
  <c r="D153" i="6"/>
  <c r="D74" i="6"/>
  <c r="D96" i="6"/>
  <c r="D403" i="6"/>
  <c r="D101" i="6"/>
  <c r="D347" i="6"/>
  <c r="D315" i="6"/>
  <c r="D319" i="6"/>
  <c r="D329" i="6"/>
  <c r="D267" i="6"/>
  <c r="D276" i="6"/>
  <c r="D432" i="6"/>
  <c r="D495" i="6"/>
  <c r="C2" i="39"/>
  <c r="D2" i="39"/>
  <c r="D9" i="39"/>
  <c r="C9" i="39"/>
  <c r="D4" i="39"/>
  <c r="C4" i="39"/>
  <c r="H299" i="6"/>
  <c r="S299" i="6"/>
  <c r="V299" i="6"/>
  <c r="J299" i="6"/>
  <c r="L299" i="6"/>
  <c r="N299" i="6"/>
  <c r="U299" i="6"/>
  <c r="D3" i="39"/>
  <c r="C3" i="39"/>
  <c r="K22" i="21"/>
  <c r="K28" i="21"/>
  <c r="S24" i="21"/>
  <c r="C6" i="39"/>
  <c r="D6" i="39"/>
  <c r="C5" i="39"/>
  <c r="D5" i="39"/>
  <c r="W528" i="6"/>
  <c r="V528" i="6"/>
  <c r="U528" i="6"/>
  <c r="S528" i="6"/>
  <c r="N528" i="6"/>
  <c r="L528" i="6"/>
  <c r="J528" i="6"/>
  <c r="H528" i="6"/>
  <c r="E528" i="6"/>
  <c r="D528" i="6"/>
  <c r="B528" i="6"/>
  <c r="B523" i="6" s="1"/>
  <c r="AB26" i="41"/>
  <c r="C49" i="8" s="1"/>
  <c r="G42" i="8"/>
  <c r="D488" i="6"/>
  <c r="D188" i="6"/>
  <c r="D193" i="6"/>
  <c r="AB3" i="41"/>
  <c r="AB6" i="41"/>
  <c r="AB286" i="41"/>
  <c r="G10" i="8"/>
  <c r="K40" i="8"/>
  <c r="K46" i="8"/>
  <c r="W96" i="6"/>
  <c r="I10" i="6"/>
  <c r="V488" i="6"/>
  <c r="U488" i="6"/>
  <c r="S488" i="6"/>
  <c r="N488" i="6"/>
  <c r="L488" i="6"/>
  <c r="J488" i="6"/>
  <c r="H488" i="6"/>
  <c r="E488" i="6"/>
  <c r="B488" i="6"/>
  <c r="B464" i="6" s="1"/>
  <c r="AB476" i="41"/>
  <c r="V276" i="6"/>
  <c r="U276" i="6"/>
  <c r="S276" i="6"/>
  <c r="N276" i="6"/>
  <c r="L276" i="6"/>
  <c r="J276" i="6"/>
  <c r="H276" i="6"/>
  <c r="E276" i="6"/>
  <c r="B276" i="6"/>
  <c r="AB263" i="41"/>
  <c r="K32" i="8" s="1"/>
  <c r="AB8" i="41"/>
  <c r="C6" i="8" s="1"/>
  <c r="B101" i="6"/>
  <c r="V101" i="6"/>
  <c r="U101" i="6"/>
  <c r="S101" i="6"/>
  <c r="N101" i="6"/>
  <c r="L101" i="6"/>
  <c r="J101" i="6"/>
  <c r="H101" i="6"/>
  <c r="E101" i="6"/>
  <c r="AB88" i="41"/>
  <c r="W267" i="6"/>
  <c r="V267" i="6"/>
  <c r="U267" i="6"/>
  <c r="S267" i="6"/>
  <c r="N267" i="6"/>
  <c r="L267" i="6"/>
  <c r="J267" i="6"/>
  <c r="H267" i="6"/>
  <c r="E267" i="6"/>
  <c r="B267" i="6"/>
  <c r="AB254" i="41"/>
  <c r="V96" i="6"/>
  <c r="U96" i="6"/>
  <c r="S96" i="6"/>
  <c r="N96" i="6"/>
  <c r="L96" i="6"/>
  <c r="J96" i="6"/>
  <c r="H96" i="6"/>
  <c r="E96" i="6"/>
  <c r="B96" i="6"/>
  <c r="AB516" i="41"/>
  <c r="B299" i="6"/>
  <c r="E299" i="6"/>
  <c r="G44" i="8"/>
  <c r="V188" i="6"/>
  <c r="U188" i="6"/>
  <c r="S188" i="6"/>
  <c r="N188" i="6"/>
  <c r="L188" i="6"/>
  <c r="J188" i="6"/>
  <c r="H188" i="6"/>
  <c r="E188" i="6"/>
  <c r="B188" i="6"/>
  <c r="AB175" i="41"/>
  <c r="C5" i="8" s="1"/>
  <c r="B159" i="6"/>
  <c r="B347" i="6"/>
  <c r="B346" i="6" s="1"/>
  <c r="AB146" i="41"/>
  <c r="H159" i="6"/>
  <c r="W390" i="6"/>
  <c r="V390" i="6"/>
  <c r="U390" i="6"/>
  <c r="S390" i="6"/>
  <c r="N390" i="6"/>
  <c r="L390" i="6"/>
  <c r="J390" i="6"/>
  <c r="H390" i="6"/>
  <c r="E390" i="6"/>
  <c r="B390" i="6"/>
  <c r="AB377" i="41"/>
  <c r="B16" i="6"/>
  <c r="B378" i="6"/>
  <c r="B403" i="6"/>
  <c r="B130" i="6"/>
  <c r="B153" i="6"/>
  <c r="B495" i="6"/>
  <c r="B432" i="6"/>
  <c r="B283" i="6"/>
  <c r="B193" i="6"/>
  <c r="B315" i="6"/>
  <c r="B319" i="6"/>
  <c r="B329" i="6"/>
  <c r="V329" i="6"/>
  <c r="U329" i="6"/>
  <c r="S329" i="6"/>
  <c r="N329" i="6"/>
  <c r="L329" i="6"/>
  <c r="J329" i="6"/>
  <c r="H329" i="6"/>
  <c r="E329" i="6"/>
  <c r="AB316" i="41"/>
  <c r="W153" i="6"/>
  <c r="W193" i="6"/>
  <c r="V193" i="6"/>
  <c r="U193" i="6"/>
  <c r="S193" i="6"/>
  <c r="N193" i="6"/>
  <c r="L193" i="6"/>
  <c r="J193" i="6"/>
  <c r="H193" i="6"/>
  <c r="E193" i="6"/>
  <c r="V74" i="6"/>
  <c r="U74" i="6"/>
  <c r="S74" i="6"/>
  <c r="N74" i="6"/>
  <c r="L74" i="6"/>
  <c r="J74" i="6"/>
  <c r="H74" i="6"/>
  <c r="E74" i="6"/>
  <c r="H378" i="6"/>
  <c r="V42" i="6"/>
  <c r="U42" i="6"/>
  <c r="S42" i="6"/>
  <c r="N42" i="6"/>
  <c r="L42" i="6"/>
  <c r="J42" i="6"/>
  <c r="H42" i="6"/>
  <c r="E42" i="6"/>
  <c r="B42" i="6"/>
  <c r="B41" i="6" s="1"/>
  <c r="V347" i="6"/>
  <c r="U347" i="6"/>
  <c r="S347" i="6"/>
  <c r="N347" i="6"/>
  <c r="L347" i="6"/>
  <c r="J347" i="6"/>
  <c r="H347" i="6"/>
  <c r="E347" i="6"/>
  <c r="W319" i="6"/>
  <c r="V319" i="6"/>
  <c r="U319" i="6"/>
  <c r="S319" i="6"/>
  <c r="N319" i="6"/>
  <c r="L319" i="6"/>
  <c r="J319" i="6"/>
  <c r="H319" i="6"/>
  <c r="E319" i="6"/>
  <c r="V378" i="6"/>
  <c r="U378" i="6"/>
  <c r="S378" i="6"/>
  <c r="N378" i="6"/>
  <c r="L378" i="6"/>
  <c r="J378" i="6"/>
  <c r="E378" i="6"/>
  <c r="E16" i="6"/>
  <c r="E153" i="6"/>
  <c r="E283" i="6"/>
  <c r="E432" i="6"/>
  <c r="E315" i="6"/>
  <c r="E495" i="6"/>
  <c r="E159" i="6"/>
  <c r="E403" i="6"/>
  <c r="V153" i="6"/>
  <c r="U153" i="6"/>
  <c r="S153" i="6"/>
  <c r="N153" i="6"/>
  <c r="L153" i="6"/>
  <c r="J153" i="6"/>
  <c r="H153" i="6"/>
  <c r="E130" i="6"/>
  <c r="H283" i="6"/>
  <c r="W283" i="6"/>
  <c r="V283" i="6"/>
  <c r="U283" i="6"/>
  <c r="S283" i="6"/>
  <c r="N283" i="6"/>
  <c r="L283" i="6"/>
  <c r="J283" i="6"/>
  <c r="W315" i="6"/>
  <c r="V315" i="6"/>
  <c r="U315" i="6"/>
  <c r="S315" i="6"/>
  <c r="N315" i="6"/>
  <c r="L315" i="6"/>
  <c r="J315" i="6"/>
  <c r="H315" i="6"/>
  <c r="S432" i="6"/>
  <c r="H130" i="6"/>
  <c r="J130" i="6"/>
  <c r="L130" i="6"/>
  <c r="N130" i="6"/>
  <c r="S130" i="6"/>
  <c r="U130" i="6"/>
  <c r="V130" i="6"/>
  <c r="H495" i="6"/>
  <c r="J495" i="6"/>
  <c r="L495" i="6"/>
  <c r="N495" i="6"/>
  <c r="S495" i="6"/>
  <c r="U495" i="6"/>
  <c r="V495" i="6"/>
  <c r="J159" i="6"/>
  <c r="L159" i="6"/>
  <c r="N159" i="6"/>
  <c r="S159" i="6"/>
  <c r="U159" i="6"/>
  <c r="V159" i="6"/>
  <c r="W432" i="6"/>
  <c r="H403" i="6"/>
  <c r="J403" i="6"/>
  <c r="L403" i="6"/>
  <c r="N403" i="6"/>
  <c r="S403" i="6"/>
  <c r="U403" i="6"/>
  <c r="V403" i="6"/>
  <c r="H432" i="6"/>
  <c r="J432" i="6"/>
  <c r="L432" i="6"/>
  <c r="N432" i="6"/>
  <c r="U432" i="6"/>
  <c r="V432" i="6"/>
  <c r="W495" i="6"/>
  <c r="W403" i="6"/>
  <c r="AB302" i="41"/>
  <c r="G45" i="8"/>
  <c r="AB140" i="41"/>
  <c r="K42" i="8"/>
  <c r="C24" i="8"/>
  <c r="AB180" i="41"/>
  <c r="C44" i="8"/>
  <c r="G27" i="8"/>
  <c r="G28" i="8"/>
  <c r="AB365" i="41"/>
  <c r="C41" i="8"/>
  <c r="AB29" i="41"/>
  <c r="G41" i="8"/>
  <c r="G32" i="8"/>
  <c r="AB306" i="41"/>
  <c r="K24" i="8" s="1"/>
  <c r="AB213" i="41"/>
  <c r="K29" i="8"/>
  <c r="AB364" i="41"/>
  <c r="AB389" i="41"/>
  <c r="AB390" i="41"/>
  <c r="AB145" i="41"/>
  <c r="AB482" i="41"/>
  <c r="AB483" i="41"/>
  <c r="AB28" i="41"/>
  <c r="AB511" i="41"/>
  <c r="AB301" i="41"/>
  <c r="AB419" i="41"/>
  <c r="AB420" i="41"/>
  <c r="AB2" i="41"/>
  <c r="AB241" i="41"/>
  <c r="AB174" i="41"/>
  <c r="AB269" i="41"/>
  <c r="AB270" i="41"/>
  <c r="AB117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K14" i="8"/>
  <c r="C27" i="8"/>
  <c r="G26" i="8"/>
  <c r="C48" i="8"/>
  <c r="W299" i="6"/>
  <c r="C25" i="8" l="1"/>
  <c r="I26" i="8"/>
  <c r="G49" i="8"/>
  <c r="H49" i="8" s="1"/>
  <c r="K31" i="8"/>
  <c r="L31" i="8" s="1"/>
  <c r="K48" i="8"/>
  <c r="L48" i="8" s="1"/>
  <c r="B158" i="6"/>
  <c r="K47" i="8"/>
  <c r="L47" i="8" s="1"/>
  <c r="K13" i="8"/>
  <c r="L13" i="8" s="1"/>
  <c r="B282" i="6"/>
  <c r="B129" i="6"/>
  <c r="B187" i="6"/>
  <c r="B314" i="6"/>
  <c r="B25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2" i="6"/>
  <c r="C39" i="8"/>
  <c r="D39" i="8" s="1"/>
  <c r="G39" i="8"/>
  <c r="H39" i="8" s="1"/>
  <c r="B15" i="6"/>
  <c r="B7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0" i="6"/>
  <c r="H26" i="8"/>
  <c r="L23" i="8"/>
  <c r="D48" i="8"/>
  <c r="D40" i="8"/>
  <c r="L6" i="8"/>
  <c r="D23" i="8"/>
  <c r="L26" i="8"/>
  <c r="B494" i="6"/>
  <c r="D43" i="8"/>
  <c r="K39" i="8"/>
  <c r="L39" i="8" s="1"/>
  <c r="C42" i="8"/>
  <c r="D42" i="8" s="1"/>
  <c r="B431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7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46" i="6" l="1"/>
  <c r="W101" i="6"/>
  <c r="W35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2" i="6" s="1"/>
  <c r="B33" i="39"/>
  <c r="W4" i="6" s="1"/>
  <c r="Q110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53" i="6" s="1"/>
  <c r="B46" i="39"/>
  <c r="V11" i="6" s="1"/>
  <c r="B26" i="39"/>
  <c r="P10" i="6" s="1"/>
  <c r="B20" i="39"/>
  <c r="P7" i="6" s="1"/>
  <c r="B22" i="39"/>
  <c r="P8" i="6" s="1"/>
  <c r="B43" i="39"/>
  <c r="W9" i="6" s="1"/>
  <c r="Q214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14" i="6" s="1"/>
  <c r="B13" i="39"/>
  <c r="Q3" i="6" s="1"/>
  <c r="Q17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Q447" i="6" s="1"/>
  <c r="B35" i="39"/>
  <c r="W5" i="6" s="1"/>
  <c r="K14" i="21"/>
  <c r="B47" i="39"/>
  <c r="W11" i="6" s="1"/>
  <c r="B29" i="39"/>
  <c r="Q11" i="6" s="1"/>
  <c r="Q249" i="6" s="1"/>
  <c r="B23" i="39"/>
  <c r="Q8" i="6" s="1"/>
  <c r="B18" i="39"/>
  <c r="P6" i="6" s="1"/>
  <c r="B36" i="39"/>
  <c r="V6" i="6" s="1"/>
  <c r="S6" i="21"/>
  <c r="S5" i="21"/>
  <c r="P150" i="6" l="1"/>
  <c r="O150" i="6"/>
  <c r="Q155" i="6"/>
  <c r="Q150" i="6"/>
  <c r="P344" i="6"/>
  <c r="O344" i="6"/>
  <c r="Q328" i="6"/>
  <c r="Q344" i="6"/>
  <c r="Q477" i="6"/>
  <c r="Q486" i="6"/>
  <c r="P486" i="6"/>
  <c r="O486" i="6"/>
  <c r="P279" i="6"/>
  <c r="O279" i="6"/>
  <c r="Q258" i="6"/>
  <c r="Q279" i="6"/>
  <c r="P553" i="6"/>
  <c r="O553" i="6"/>
  <c r="P447" i="6"/>
  <c r="O447" i="6"/>
  <c r="P401" i="6"/>
  <c r="O400" i="6"/>
  <c r="O399" i="6"/>
  <c r="O401" i="6"/>
  <c r="P399" i="6"/>
  <c r="P400" i="6"/>
  <c r="Q401" i="6"/>
  <c r="Q399" i="6"/>
  <c r="Q400" i="6"/>
  <c r="Q381" i="6"/>
  <c r="P381" i="6"/>
  <c r="O381" i="6"/>
  <c r="P357" i="6"/>
  <c r="O357" i="6"/>
  <c r="Q367" i="6"/>
  <c r="Q357" i="6"/>
  <c r="P367" i="6"/>
  <c r="O367" i="6"/>
  <c r="P362" i="6"/>
  <c r="O362" i="6"/>
  <c r="W362" i="6" s="1"/>
  <c r="Q370" i="6"/>
  <c r="Q362" i="6"/>
  <c r="P249" i="6"/>
  <c r="O249" i="6"/>
  <c r="P214" i="6"/>
  <c r="O214" i="6"/>
  <c r="Q199" i="6"/>
  <c r="Q198" i="6"/>
  <c r="P198" i="6"/>
  <c r="O198" i="6"/>
  <c r="P199" i="6"/>
  <c r="O199" i="6"/>
  <c r="W199" i="6" s="1"/>
  <c r="P190" i="6"/>
  <c r="O190" i="6"/>
  <c r="Q191" i="6"/>
  <c r="Q190" i="6"/>
  <c r="P110" i="6"/>
  <c r="O110" i="6"/>
  <c r="P67" i="6"/>
  <c r="O67" i="6"/>
  <c r="W67" i="6" s="1"/>
  <c r="Q50" i="6"/>
  <c r="Q67" i="6"/>
  <c r="P50" i="6"/>
  <c r="O50" i="6"/>
  <c r="P328" i="6"/>
  <c r="O328" i="6"/>
  <c r="P370" i="6"/>
  <c r="O370" i="6"/>
  <c r="P191" i="6"/>
  <c r="O191" i="6"/>
  <c r="P78" i="6"/>
  <c r="O78" i="6"/>
  <c r="Q84" i="6"/>
  <c r="Q78" i="6"/>
  <c r="Q223" i="6"/>
  <c r="Q217" i="6"/>
  <c r="P217" i="6"/>
  <c r="O217" i="6"/>
  <c r="P477" i="6"/>
  <c r="O477" i="6"/>
  <c r="P258" i="6"/>
  <c r="O258" i="6"/>
  <c r="P17" i="6"/>
  <c r="O17" i="6"/>
  <c r="P270" i="6"/>
  <c r="O270" i="6"/>
  <c r="Q275" i="6"/>
  <c r="Q270" i="6"/>
  <c r="P275" i="6"/>
  <c r="O275" i="6"/>
  <c r="P155" i="6"/>
  <c r="O155" i="6"/>
  <c r="P337" i="6"/>
  <c r="O337" i="6"/>
  <c r="Q327" i="6"/>
  <c r="Q337" i="6"/>
  <c r="P414" i="6"/>
  <c r="O414" i="6"/>
  <c r="P272" i="6"/>
  <c r="O272" i="6"/>
  <c r="Q274" i="6"/>
  <c r="Q272" i="6"/>
  <c r="P223" i="6"/>
  <c r="O223" i="6"/>
  <c r="Q28" i="6"/>
  <c r="Q32" i="6"/>
  <c r="P32" i="6"/>
  <c r="O32" i="6"/>
  <c r="P162" i="6"/>
  <c r="O162" i="6"/>
  <c r="Q549" i="6"/>
  <c r="Q545" i="6"/>
  <c r="P545" i="6"/>
  <c r="O545" i="6"/>
  <c r="P171" i="6"/>
  <c r="O171" i="6"/>
  <c r="Q160" i="6"/>
  <c r="Q171" i="6"/>
  <c r="P549" i="6"/>
  <c r="O549" i="6"/>
  <c r="P124" i="6"/>
  <c r="O124" i="6"/>
  <c r="Q108" i="6"/>
  <c r="Q124" i="6"/>
  <c r="Q236" i="6"/>
  <c r="Q242" i="6"/>
  <c r="P242" i="6"/>
  <c r="O242" i="6"/>
  <c r="P108" i="6"/>
  <c r="O108" i="6"/>
  <c r="Q409" i="6"/>
  <c r="Q416" i="6"/>
  <c r="P416" i="6"/>
  <c r="O416" i="6"/>
  <c r="P409" i="6"/>
  <c r="O409" i="6"/>
  <c r="P327" i="6"/>
  <c r="O327" i="6"/>
  <c r="P156" i="6"/>
  <c r="O156" i="6"/>
  <c r="Q151" i="6"/>
  <c r="Q156" i="6"/>
  <c r="P151" i="6"/>
  <c r="O151" i="6"/>
  <c r="P160" i="6"/>
  <c r="O160" i="6"/>
  <c r="Q428" i="6"/>
  <c r="Q424" i="6"/>
  <c r="P424" i="6"/>
  <c r="O424" i="6"/>
  <c r="P428" i="6"/>
  <c r="O428" i="6"/>
  <c r="Q406" i="6"/>
  <c r="Q413" i="6"/>
  <c r="P413" i="6"/>
  <c r="O413" i="6"/>
  <c r="P406" i="6"/>
  <c r="O406" i="6"/>
  <c r="P274" i="6"/>
  <c r="O274" i="6"/>
  <c r="O64" i="6"/>
  <c r="P64" i="6"/>
  <c r="Q68" i="6"/>
  <c r="Q64" i="6"/>
  <c r="P28" i="6"/>
  <c r="O28" i="6"/>
  <c r="Q35" i="6"/>
  <c r="Q18" i="6"/>
  <c r="P18" i="6"/>
  <c r="O18" i="6"/>
  <c r="Q425" i="6"/>
  <c r="Q420" i="6"/>
  <c r="Q422" i="6"/>
  <c r="Q421" i="6"/>
  <c r="Q418" i="6"/>
  <c r="Q423" i="6"/>
  <c r="Q419" i="6"/>
  <c r="P423" i="6"/>
  <c r="O421" i="6"/>
  <c r="P419" i="6"/>
  <c r="O418" i="6"/>
  <c r="P425" i="6"/>
  <c r="O423" i="6"/>
  <c r="P420" i="6"/>
  <c r="O419" i="6"/>
  <c r="O425" i="6"/>
  <c r="P422" i="6"/>
  <c r="O420" i="6"/>
  <c r="P421" i="6"/>
  <c r="O422" i="6"/>
  <c r="P418" i="6"/>
  <c r="Q415" i="6"/>
  <c r="Q410" i="6"/>
  <c r="Q411" i="6"/>
  <c r="Q407" i="6"/>
  <c r="Q412" i="6"/>
  <c r="Q408" i="6"/>
  <c r="P412" i="6"/>
  <c r="O411" i="6"/>
  <c r="P408" i="6"/>
  <c r="O407" i="6"/>
  <c r="P415" i="6"/>
  <c r="O412" i="6"/>
  <c r="P410" i="6"/>
  <c r="O408" i="6"/>
  <c r="O415" i="6"/>
  <c r="O410" i="6"/>
  <c r="P411" i="6"/>
  <c r="P407" i="6"/>
  <c r="P236" i="6"/>
  <c r="O236" i="6"/>
  <c r="P84" i="6"/>
  <c r="O84" i="6"/>
  <c r="P35" i="6"/>
  <c r="O35" i="6"/>
  <c r="Q551" i="6"/>
  <c r="Q550" i="6"/>
  <c r="Q552" i="6"/>
  <c r="Q548" i="6"/>
  <c r="P548" i="6"/>
  <c r="O552" i="6"/>
  <c r="O550" i="6"/>
  <c r="P551" i="6"/>
  <c r="O548" i="6"/>
  <c r="O551" i="6"/>
  <c r="P550" i="6"/>
  <c r="P552" i="6"/>
  <c r="Q546" i="6"/>
  <c r="Q541" i="6"/>
  <c r="Q542" i="6"/>
  <c r="Q543" i="6"/>
  <c r="Q539" i="6"/>
  <c r="Q544" i="6"/>
  <c r="Q540" i="6"/>
  <c r="P544" i="6"/>
  <c r="O543" i="6"/>
  <c r="P540" i="6"/>
  <c r="O539" i="6"/>
  <c r="P546" i="6"/>
  <c r="O544" i="6"/>
  <c r="P541" i="6"/>
  <c r="O540" i="6"/>
  <c r="P539" i="6"/>
  <c r="O546" i="6"/>
  <c r="P542" i="6"/>
  <c r="O541" i="6"/>
  <c r="P543" i="6"/>
  <c r="O542" i="6"/>
  <c r="P537" i="6"/>
  <c r="O536" i="6"/>
  <c r="P533" i="6"/>
  <c r="O532" i="6"/>
  <c r="P529" i="6"/>
  <c r="O537" i="6"/>
  <c r="P534" i="6"/>
  <c r="O533" i="6"/>
  <c r="P530" i="6"/>
  <c r="O529" i="6"/>
  <c r="P535" i="6"/>
  <c r="O534" i="6"/>
  <c r="P531" i="6"/>
  <c r="O530" i="6"/>
  <c r="P536" i="6"/>
  <c r="O535" i="6"/>
  <c r="P532" i="6"/>
  <c r="O531" i="6"/>
  <c r="Q534" i="6"/>
  <c r="Q530" i="6"/>
  <c r="Q535" i="6"/>
  <c r="Q531" i="6"/>
  <c r="Q536" i="6"/>
  <c r="Q532" i="6"/>
  <c r="Q537" i="6"/>
  <c r="Q533" i="6"/>
  <c r="Q529" i="6"/>
  <c r="P515" i="6"/>
  <c r="O514" i="6"/>
  <c r="P513" i="6"/>
  <c r="O512" i="6"/>
  <c r="P509" i="6"/>
  <c r="O508" i="6"/>
  <c r="P516" i="6"/>
  <c r="O515" i="6"/>
  <c r="O513" i="6"/>
  <c r="P510" i="6"/>
  <c r="O509" i="6"/>
  <c r="O516" i="6"/>
  <c r="P511" i="6"/>
  <c r="O510" i="6"/>
  <c r="P514" i="6"/>
  <c r="P512" i="6"/>
  <c r="O511" i="6"/>
  <c r="P508" i="6"/>
  <c r="Q516" i="6"/>
  <c r="Q510" i="6"/>
  <c r="Q511" i="6"/>
  <c r="Q514" i="6"/>
  <c r="Q512" i="6"/>
  <c r="Q508" i="6"/>
  <c r="Q515" i="6"/>
  <c r="Q513" i="6"/>
  <c r="Q509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1" i="6"/>
  <c r="Q492" i="6"/>
  <c r="Q489" i="6"/>
  <c r="Q493" i="6"/>
  <c r="Q490" i="6"/>
  <c r="P493" i="6"/>
  <c r="O492" i="6"/>
  <c r="P490" i="6"/>
  <c r="O489" i="6"/>
  <c r="O493" i="6"/>
  <c r="P491" i="6"/>
  <c r="O490" i="6"/>
  <c r="O491" i="6"/>
  <c r="P492" i="6"/>
  <c r="P489" i="6"/>
  <c r="Q487" i="6"/>
  <c r="Q481" i="6"/>
  <c r="Q480" i="6"/>
  <c r="Q482" i="6"/>
  <c r="Q485" i="6"/>
  <c r="Q483" i="6"/>
  <c r="Q478" i="6"/>
  <c r="Q484" i="6"/>
  <c r="Q479" i="6"/>
  <c r="O485" i="6"/>
  <c r="P484" i="6"/>
  <c r="O483" i="6"/>
  <c r="P479" i="6"/>
  <c r="O478" i="6"/>
  <c r="P487" i="6"/>
  <c r="O484" i="6"/>
  <c r="P481" i="6"/>
  <c r="O479" i="6"/>
  <c r="O487" i="6"/>
  <c r="P480" i="6"/>
  <c r="P482" i="6"/>
  <c r="O481" i="6"/>
  <c r="P485" i="6"/>
  <c r="O480" i="6"/>
  <c r="P483" i="6"/>
  <c r="O482" i="6"/>
  <c r="P478" i="6"/>
  <c r="Q476" i="6"/>
  <c r="Q472" i="6"/>
  <c r="Q470" i="6"/>
  <c r="Q474" i="6"/>
  <c r="Q473" i="6"/>
  <c r="Q475" i="6"/>
  <c r="Q471" i="6"/>
  <c r="P475" i="6"/>
  <c r="O474" i="6"/>
  <c r="P471" i="6"/>
  <c r="O473" i="6"/>
  <c r="P474" i="6"/>
  <c r="P476" i="6"/>
  <c r="O475" i="6"/>
  <c r="P472" i="6"/>
  <c r="O471" i="6"/>
  <c r="P473" i="6"/>
  <c r="O470" i="6"/>
  <c r="O476" i="6"/>
  <c r="O472" i="6"/>
  <c r="P470" i="6"/>
  <c r="Q463" i="6"/>
  <c r="Q460" i="6"/>
  <c r="Q461" i="6"/>
  <c r="Q462" i="6"/>
  <c r="Q459" i="6"/>
  <c r="O462" i="6"/>
  <c r="O459" i="6"/>
  <c r="P463" i="6"/>
  <c r="P460" i="6"/>
  <c r="O463" i="6"/>
  <c r="P461" i="6"/>
  <c r="O460" i="6"/>
  <c r="P462" i="6"/>
  <c r="O461" i="6"/>
  <c r="P459" i="6"/>
  <c r="Q457" i="6"/>
  <c r="Q453" i="6"/>
  <c r="Q449" i="6"/>
  <c r="Q445" i="6"/>
  <c r="Q441" i="6"/>
  <c r="Q437" i="6"/>
  <c r="Q436" i="6"/>
  <c r="Q454" i="6"/>
  <c r="Q451" i="6"/>
  <c r="Q446" i="6"/>
  <c r="Q442" i="6"/>
  <c r="Q438" i="6"/>
  <c r="Q456" i="6"/>
  <c r="Q450" i="6"/>
  <c r="Q455" i="6"/>
  <c r="Q452" i="6"/>
  <c r="Q448" i="6"/>
  <c r="Q443" i="6"/>
  <c r="Q439" i="6"/>
  <c r="Q444" i="6"/>
  <c r="Q440" i="6"/>
  <c r="P456" i="6"/>
  <c r="O455" i="6"/>
  <c r="O452" i="6"/>
  <c r="P450" i="6"/>
  <c r="O448" i="6"/>
  <c r="P444" i="6"/>
  <c r="O443" i="6"/>
  <c r="P440" i="6"/>
  <c r="O439" i="6"/>
  <c r="P436" i="6"/>
  <c r="O454" i="6"/>
  <c r="P452" i="6"/>
  <c r="P448" i="6"/>
  <c r="P443" i="6"/>
  <c r="P439" i="6"/>
  <c r="P457" i="6"/>
  <c r="O456" i="6"/>
  <c r="P453" i="6"/>
  <c r="P449" i="6"/>
  <c r="O450" i="6"/>
  <c r="P445" i="6"/>
  <c r="O444" i="6"/>
  <c r="P441" i="6"/>
  <c r="O440" i="6"/>
  <c r="P437" i="6"/>
  <c r="O436" i="6"/>
  <c r="O451" i="6"/>
  <c r="O446" i="6"/>
  <c r="O442" i="6"/>
  <c r="O438" i="6"/>
  <c r="O457" i="6"/>
  <c r="P454" i="6"/>
  <c r="O453" i="6"/>
  <c r="P451" i="6"/>
  <c r="O449" i="6"/>
  <c r="P446" i="6"/>
  <c r="O445" i="6"/>
  <c r="P442" i="6"/>
  <c r="O441" i="6"/>
  <c r="P438" i="6"/>
  <c r="O437" i="6"/>
  <c r="P455" i="6"/>
  <c r="Q429" i="6"/>
  <c r="Q430" i="6"/>
  <c r="Q427" i="6"/>
  <c r="O430" i="6"/>
  <c r="O427" i="6"/>
  <c r="P430" i="6"/>
  <c r="P427" i="6"/>
  <c r="P429" i="6"/>
  <c r="O429" i="6"/>
  <c r="P398" i="6"/>
  <c r="O398" i="6"/>
  <c r="Q398" i="6"/>
  <c r="P396" i="6"/>
  <c r="O395" i="6"/>
  <c r="P393" i="6"/>
  <c r="O392" i="6"/>
  <c r="O396" i="6"/>
  <c r="O393" i="6"/>
  <c r="P394" i="6"/>
  <c r="P391" i="6"/>
  <c r="P395" i="6"/>
  <c r="O394" i="6"/>
  <c r="P392" i="6"/>
  <c r="O391" i="6"/>
  <c r="Q394" i="6"/>
  <c r="Q391" i="6"/>
  <c r="Q395" i="6"/>
  <c r="Q392" i="6"/>
  <c r="Q396" i="6"/>
  <c r="Q393" i="6"/>
  <c r="P388" i="6"/>
  <c r="O387" i="6"/>
  <c r="P384" i="6"/>
  <c r="O383" i="6"/>
  <c r="P389" i="6"/>
  <c r="O388" i="6"/>
  <c r="P385" i="6"/>
  <c r="O384" i="6"/>
  <c r="P387" i="6"/>
  <c r="O386" i="6"/>
  <c r="P383" i="6"/>
  <c r="O389" i="6"/>
  <c r="P386" i="6"/>
  <c r="O385" i="6"/>
  <c r="Q389" i="6"/>
  <c r="Q385" i="6"/>
  <c r="Q386" i="6"/>
  <c r="Q388" i="6"/>
  <c r="Q384" i="6"/>
  <c r="Q387" i="6"/>
  <c r="Q383" i="6"/>
  <c r="P368" i="6"/>
  <c r="P364" i="6"/>
  <c r="O363" i="6"/>
  <c r="P360" i="6"/>
  <c r="P363" i="6"/>
  <c r="P369" i="6"/>
  <c r="O368" i="6"/>
  <c r="P365" i="6"/>
  <c r="O364" i="6"/>
  <c r="P361" i="6"/>
  <c r="O360" i="6"/>
  <c r="O369" i="6"/>
  <c r="P366" i="6"/>
  <c r="O365" i="6"/>
  <c r="O361" i="6"/>
  <c r="O366" i="6"/>
  <c r="Q369" i="6"/>
  <c r="Q365" i="6"/>
  <c r="Q361" i="6"/>
  <c r="Q364" i="6"/>
  <c r="Q360" i="6"/>
  <c r="Q366" i="6"/>
  <c r="Q363" i="6"/>
  <c r="Q368" i="6"/>
  <c r="P356" i="6"/>
  <c r="O355" i="6"/>
  <c r="P352" i="6"/>
  <c r="O351" i="6"/>
  <c r="P358" i="6"/>
  <c r="O356" i="6"/>
  <c r="P353" i="6"/>
  <c r="O352" i="6"/>
  <c r="O358" i="6"/>
  <c r="P354" i="6"/>
  <c r="O353" i="6"/>
  <c r="P355" i="6"/>
  <c r="O354" i="6"/>
  <c r="P351" i="6"/>
  <c r="Q358" i="6"/>
  <c r="Q353" i="6"/>
  <c r="Q354" i="6"/>
  <c r="Q355" i="6"/>
  <c r="Q351" i="6"/>
  <c r="Q356" i="6"/>
  <c r="Q352" i="6"/>
  <c r="Q316" i="6"/>
  <c r="Q323" i="6"/>
  <c r="Q320" i="6"/>
  <c r="Q322" i="6"/>
  <c r="Q324" i="6"/>
  <c r="Q321" i="6"/>
  <c r="Q325" i="6"/>
  <c r="Q326" i="6"/>
  <c r="P326" i="6"/>
  <c r="O325" i="6"/>
  <c r="P322" i="6"/>
  <c r="P325" i="6"/>
  <c r="O324" i="6"/>
  <c r="O326" i="6"/>
  <c r="P323" i="6"/>
  <c r="O322" i="6"/>
  <c r="P320" i="6"/>
  <c r="P324" i="6"/>
  <c r="O323" i="6"/>
  <c r="P321" i="6"/>
  <c r="O320" i="6"/>
  <c r="O321" i="6"/>
  <c r="P309" i="6"/>
  <c r="O313" i="6"/>
  <c r="P310" i="6"/>
  <c r="O309" i="6"/>
  <c r="P311" i="6"/>
  <c r="O310" i="6"/>
  <c r="O312" i="6"/>
  <c r="P312" i="6"/>
  <c r="O311" i="6"/>
  <c r="P313" i="6"/>
  <c r="P316" i="6"/>
  <c r="O316" i="6"/>
  <c r="Q311" i="6"/>
  <c r="Q312" i="6"/>
  <c r="Q313" i="6"/>
  <c r="Q309" i="6"/>
  <c r="Q310" i="6"/>
  <c r="P297" i="6"/>
  <c r="O296" i="6"/>
  <c r="P293" i="6"/>
  <c r="O292" i="6"/>
  <c r="P289" i="6"/>
  <c r="O295" i="6"/>
  <c r="P298" i="6"/>
  <c r="O297" i="6"/>
  <c r="P294" i="6"/>
  <c r="O293" i="6"/>
  <c r="P290" i="6"/>
  <c r="O289" i="6"/>
  <c r="P296" i="6"/>
  <c r="P292" i="6"/>
  <c r="O291" i="6"/>
  <c r="O298" i="6"/>
  <c r="P295" i="6"/>
  <c r="O294" i="6"/>
  <c r="P291" i="6"/>
  <c r="O290" i="6"/>
  <c r="Q285" i="6"/>
  <c r="Q298" i="6"/>
  <c r="Q294" i="6"/>
  <c r="Q290" i="6"/>
  <c r="Q293" i="6"/>
  <c r="Q295" i="6"/>
  <c r="Q291" i="6"/>
  <c r="Q297" i="6"/>
  <c r="Q296" i="6"/>
  <c r="Q292" i="6"/>
  <c r="Q289" i="6"/>
  <c r="P285" i="6"/>
  <c r="O285" i="6"/>
  <c r="P266" i="6"/>
  <c r="O265" i="6"/>
  <c r="P262" i="6"/>
  <c r="O261" i="6"/>
  <c r="O266" i="6"/>
  <c r="P263" i="6"/>
  <c r="O262" i="6"/>
  <c r="P264" i="6"/>
  <c r="O263" i="6"/>
  <c r="P260" i="6"/>
  <c r="P265" i="6"/>
  <c r="O264" i="6"/>
  <c r="P261" i="6"/>
  <c r="O260" i="6"/>
  <c r="Q263" i="6"/>
  <c r="Q264" i="6"/>
  <c r="Q260" i="6"/>
  <c r="Q265" i="6"/>
  <c r="Q261" i="6"/>
  <c r="Q266" i="6"/>
  <c r="Q262" i="6"/>
  <c r="Q243" i="6"/>
  <c r="Q244" i="6"/>
  <c r="Q240" i="6"/>
  <c r="Q247" i="6"/>
  <c r="Q245" i="6"/>
  <c r="Q241" i="6"/>
  <c r="Q248" i="6"/>
  <c r="Q246" i="6"/>
  <c r="P248" i="6"/>
  <c r="O247" i="6"/>
  <c r="P246" i="6"/>
  <c r="O245" i="6"/>
  <c r="O241" i="6"/>
  <c r="O248" i="6"/>
  <c r="O246" i="6"/>
  <c r="P243" i="6"/>
  <c r="P244" i="6"/>
  <c r="O243" i="6"/>
  <c r="P240" i="6"/>
  <c r="P247" i="6"/>
  <c r="P245" i="6"/>
  <c r="O244" i="6"/>
  <c r="P241" i="6"/>
  <c r="O240" i="6"/>
  <c r="Q238" i="6"/>
  <c r="Q234" i="6"/>
  <c r="Q235" i="6"/>
  <c r="Q233" i="6"/>
  <c r="Q232" i="6"/>
  <c r="Q237" i="6"/>
  <c r="Q231" i="6"/>
  <c r="P233" i="6"/>
  <c r="O237" i="6"/>
  <c r="P232" i="6"/>
  <c r="O231" i="6"/>
  <c r="O235" i="6"/>
  <c r="P238" i="6"/>
  <c r="O233" i="6"/>
  <c r="P234" i="6"/>
  <c r="O232" i="6"/>
  <c r="P237" i="6"/>
  <c r="O238" i="6"/>
  <c r="P235" i="6"/>
  <c r="O234" i="6"/>
  <c r="P231" i="6"/>
  <c r="Q219" i="6"/>
  <c r="Q220" i="6"/>
  <c r="Q221" i="6"/>
  <c r="P221" i="6"/>
  <c r="O220" i="6"/>
  <c r="P220" i="6"/>
  <c r="O221" i="6"/>
  <c r="P219" i="6"/>
  <c r="O219" i="6"/>
  <c r="Q205" i="6"/>
  <c r="Q209" i="6"/>
  <c r="Q213" i="6"/>
  <c r="Q210" i="6"/>
  <c r="Q206" i="6"/>
  <c r="Q215" i="6"/>
  <c r="Q211" i="6"/>
  <c r="Q207" i="6"/>
  <c r="Q216" i="6"/>
  <c r="Q212" i="6"/>
  <c r="Q208" i="6"/>
  <c r="P216" i="6"/>
  <c r="O215" i="6"/>
  <c r="P212" i="6"/>
  <c r="O211" i="6"/>
  <c r="P208" i="6"/>
  <c r="O207" i="6"/>
  <c r="P205" i="6"/>
  <c r="O216" i="6"/>
  <c r="O212" i="6"/>
  <c r="P209" i="6"/>
  <c r="O208" i="6"/>
  <c r="O213" i="6"/>
  <c r="O210" i="6"/>
  <c r="O205" i="6"/>
  <c r="P213" i="6"/>
  <c r="P210" i="6"/>
  <c r="O209" i="6"/>
  <c r="P206" i="6"/>
  <c r="P215" i="6"/>
  <c r="P211" i="6"/>
  <c r="P207" i="6"/>
  <c r="O206" i="6"/>
  <c r="Q203" i="6"/>
  <c r="Q194" i="6"/>
  <c r="Q200" i="6"/>
  <c r="Q195" i="6"/>
  <c r="Q201" i="6"/>
  <c r="Q196" i="6"/>
  <c r="Q202" i="6"/>
  <c r="Q197" i="6"/>
  <c r="P202" i="6"/>
  <c r="O201" i="6"/>
  <c r="P197" i="6"/>
  <c r="O196" i="6"/>
  <c r="P203" i="6"/>
  <c r="O202" i="6"/>
  <c r="O197" i="6"/>
  <c r="P194" i="6"/>
  <c r="O203" i="6"/>
  <c r="P200" i="6"/>
  <c r="P195" i="6"/>
  <c r="O194" i="6"/>
  <c r="P201" i="6"/>
  <c r="O200" i="6"/>
  <c r="P196" i="6"/>
  <c r="O195" i="6"/>
  <c r="P185" i="6"/>
  <c r="O184" i="6"/>
  <c r="P186" i="6"/>
  <c r="O185" i="6"/>
  <c r="O186" i="6"/>
  <c r="P183" i="6"/>
  <c r="P184" i="6"/>
  <c r="O183" i="6"/>
  <c r="Q186" i="6"/>
  <c r="Q183" i="6"/>
  <c r="Q184" i="6"/>
  <c r="Q185" i="6"/>
  <c r="O181" i="6"/>
  <c r="P175" i="6"/>
  <c r="O178" i="6"/>
  <c r="P174" i="6"/>
  <c r="O177" i="6"/>
  <c r="P179" i="6"/>
  <c r="O175" i="6"/>
  <c r="P176" i="6"/>
  <c r="O174" i="6"/>
  <c r="P178" i="6"/>
  <c r="P180" i="6"/>
  <c r="O179" i="6"/>
  <c r="P177" i="6"/>
  <c r="O176" i="6"/>
  <c r="P181" i="6"/>
  <c r="O180" i="6"/>
  <c r="Q179" i="6"/>
  <c r="Q176" i="6"/>
  <c r="Q175" i="6"/>
  <c r="Q180" i="6"/>
  <c r="Q177" i="6"/>
  <c r="Q181" i="6"/>
  <c r="Q178" i="6"/>
  <c r="Q174" i="6"/>
  <c r="O173" i="6"/>
  <c r="P173" i="6"/>
  <c r="Q173" i="6"/>
  <c r="P170" i="6"/>
  <c r="O169" i="6"/>
  <c r="P166" i="6"/>
  <c r="O165" i="6"/>
  <c r="P169" i="6"/>
  <c r="O164" i="6"/>
  <c r="P172" i="6"/>
  <c r="O170" i="6"/>
  <c r="P167" i="6"/>
  <c r="O166" i="6"/>
  <c r="O168" i="6"/>
  <c r="O172" i="6"/>
  <c r="P168" i="6"/>
  <c r="O167" i="6"/>
  <c r="P164" i="6"/>
  <c r="P165" i="6"/>
  <c r="Q172" i="6"/>
  <c r="Q167" i="6"/>
  <c r="Q170" i="6"/>
  <c r="Q168" i="6"/>
  <c r="Q164" i="6"/>
  <c r="Q166" i="6"/>
  <c r="Q169" i="6"/>
  <c r="Q165" i="6"/>
  <c r="O152" i="6"/>
  <c r="P147" i="6"/>
  <c r="O146" i="6"/>
  <c r="P143" i="6"/>
  <c r="O149" i="6"/>
  <c r="O145" i="6"/>
  <c r="P148" i="6"/>
  <c r="O147" i="6"/>
  <c r="P144" i="6"/>
  <c r="O143" i="6"/>
  <c r="P146" i="6"/>
  <c r="P149" i="6"/>
  <c r="O148" i="6"/>
  <c r="P145" i="6"/>
  <c r="O144" i="6"/>
  <c r="P152" i="6"/>
  <c r="Q148" i="6"/>
  <c r="Q144" i="6"/>
  <c r="Q149" i="6"/>
  <c r="Q145" i="6"/>
  <c r="Q147" i="6"/>
  <c r="Q152" i="6"/>
  <c r="Q146" i="6"/>
  <c r="Q143" i="6"/>
  <c r="O141" i="6"/>
  <c r="P139" i="6"/>
  <c r="P140" i="6"/>
  <c r="O139" i="6"/>
  <c r="P141" i="6"/>
  <c r="O140" i="6"/>
  <c r="Q139" i="6"/>
  <c r="Q140" i="6"/>
  <c r="Q141" i="6"/>
  <c r="P138" i="6"/>
  <c r="P135" i="6"/>
  <c r="O134" i="6"/>
  <c r="P137" i="6"/>
  <c r="O136" i="6"/>
  <c r="O137" i="6"/>
  <c r="O138" i="6"/>
  <c r="P136" i="6"/>
  <c r="O135" i="6"/>
  <c r="P134" i="6"/>
  <c r="Q136" i="6"/>
  <c r="Q134" i="6"/>
  <c r="Q137" i="6"/>
  <c r="Q138" i="6"/>
  <c r="Q135" i="6"/>
  <c r="P128" i="6"/>
  <c r="O127" i="6"/>
  <c r="O126" i="6"/>
  <c r="O128" i="6"/>
  <c r="P125" i="6"/>
  <c r="P126" i="6"/>
  <c r="O125" i="6"/>
  <c r="P127" i="6"/>
  <c r="Q125" i="6"/>
  <c r="Q126" i="6"/>
  <c r="Q127" i="6"/>
  <c r="Q128" i="6"/>
  <c r="P121" i="6"/>
  <c r="O120" i="6"/>
  <c r="O118" i="6"/>
  <c r="P115" i="6"/>
  <c r="O122" i="6"/>
  <c r="O116" i="6"/>
  <c r="O117" i="6"/>
  <c r="P122" i="6"/>
  <c r="O121" i="6"/>
  <c r="P119" i="6"/>
  <c r="P116" i="6"/>
  <c r="O115" i="6"/>
  <c r="O119" i="6"/>
  <c r="P117" i="6"/>
  <c r="P120" i="6"/>
  <c r="P118" i="6"/>
  <c r="Q122" i="6"/>
  <c r="Q119" i="6"/>
  <c r="Q116" i="6"/>
  <c r="Q117" i="6"/>
  <c r="Q120" i="6"/>
  <c r="Q118" i="6"/>
  <c r="Q121" i="6"/>
  <c r="Q115" i="6"/>
  <c r="O113" i="6"/>
  <c r="P109" i="6"/>
  <c r="O107" i="6"/>
  <c r="P113" i="6"/>
  <c r="O106" i="6"/>
  <c r="P111" i="6"/>
  <c r="O109" i="6"/>
  <c r="O112" i="6"/>
  <c r="P112" i="6"/>
  <c r="O111" i="6"/>
  <c r="P106" i="6"/>
  <c r="P107" i="6"/>
  <c r="Q103" i="6"/>
  <c r="Q111" i="6"/>
  <c r="Q112" i="6"/>
  <c r="Q106" i="6"/>
  <c r="Q113" i="6"/>
  <c r="Q107" i="6"/>
  <c r="Q109" i="6"/>
  <c r="P103" i="6"/>
  <c r="O103" i="6"/>
  <c r="P99" i="6"/>
  <c r="O98" i="6"/>
  <c r="O97" i="6"/>
  <c r="O99" i="6"/>
  <c r="P97" i="6"/>
  <c r="P98" i="6"/>
  <c r="Q97" i="6"/>
  <c r="Q99" i="6"/>
  <c r="Q98" i="6"/>
  <c r="Q95" i="6"/>
  <c r="Q92" i="6"/>
  <c r="Q88" i="6"/>
  <c r="Q93" i="6"/>
  <c r="Q89" i="6"/>
  <c r="Q91" i="6"/>
  <c r="Q87" i="6"/>
  <c r="Q94" i="6"/>
  <c r="Q90" i="6"/>
  <c r="O94" i="6"/>
  <c r="P91" i="6"/>
  <c r="O90" i="6"/>
  <c r="P87" i="6"/>
  <c r="O89" i="6"/>
  <c r="P95" i="6"/>
  <c r="P92" i="6"/>
  <c r="O91" i="6"/>
  <c r="P88" i="6"/>
  <c r="O87" i="6"/>
  <c r="O95" i="6"/>
  <c r="P93" i="6"/>
  <c r="O92" i="6"/>
  <c r="P89" i="6"/>
  <c r="O88" i="6"/>
  <c r="P94" i="6"/>
  <c r="O93" i="6"/>
  <c r="P90" i="6"/>
  <c r="Q85" i="6"/>
  <c r="Q80" i="6"/>
  <c r="Q81" i="6"/>
  <c r="Q82" i="6"/>
  <c r="Q83" i="6"/>
  <c r="P83" i="6"/>
  <c r="O82" i="6"/>
  <c r="P82" i="6"/>
  <c r="O81" i="6"/>
  <c r="P85" i="6"/>
  <c r="O83" i="6"/>
  <c r="P80" i="6"/>
  <c r="O85" i="6"/>
  <c r="P81" i="6"/>
  <c r="O80" i="6"/>
  <c r="Q38" i="6"/>
  <c r="Q40" i="6"/>
  <c r="Q39" i="6"/>
  <c r="Q37" i="6"/>
  <c r="Q36" i="6"/>
  <c r="P40" i="6"/>
  <c r="P37" i="6"/>
  <c r="O36" i="6"/>
  <c r="O40" i="6"/>
  <c r="P38" i="6"/>
  <c r="O37" i="6"/>
  <c r="O39" i="6"/>
  <c r="P39" i="6"/>
  <c r="O38" i="6"/>
  <c r="P36" i="6"/>
  <c r="Q33" i="6"/>
  <c r="Q30" i="6"/>
  <c r="Q31" i="6"/>
  <c r="O31" i="6"/>
  <c r="P31" i="6"/>
  <c r="P33" i="6"/>
  <c r="P30" i="6"/>
  <c r="O33" i="6"/>
  <c r="O30" i="6"/>
  <c r="Q34" i="6"/>
  <c r="P34" i="6"/>
  <c r="O34" i="6"/>
  <c r="Q29" i="6"/>
  <c r="P29" i="6"/>
  <c r="O29" i="6"/>
  <c r="Q547" i="6"/>
  <c r="Q538" i="6"/>
  <c r="P538" i="6"/>
  <c r="O538" i="6"/>
  <c r="Q25" i="6"/>
  <c r="P25" i="6"/>
  <c r="O25" i="6"/>
  <c r="P520" i="6"/>
  <c r="O520" i="6"/>
  <c r="Q520" i="6"/>
  <c r="Q374" i="6"/>
  <c r="P278" i="6"/>
  <c r="O278" i="6"/>
  <c r="Q278" i="6"/>
  <c r="P68" i="6"/>
  <c r="O68" i="6"/>
  <c r="P521" i="6"/>
  <c r="O521" i="6"/>
  <c r="Q522" i="6"/>
  <c r="Q521" i="6"/>
  <c r="P547" i="6"/>
  <c r="O547" i="6"/>
  <c r="Q26" i="6"/>
  <c r="Q458" i="6"/>
  <c r="P54" i="6"/>
  <c r="O54" i="6"/>
  <c r="Q43" i="6"/>
  <c r="Q54" i="6"/>
  <c r="P522" i="6"/>
  <c r="O522" i="6"/>
  <c r="P458" i="6"/>
  <c r="O458" i="6"/>
  <c r="P374" i="6"/>
  <c r="O374" i="6"/>
  <c r="P76" i="6"/>
  <c r="O76" i="6"/>
  <c r="Q76" i="6"/>
  <c r="P26" i="6"/>
  <c r="O26" i="6"/>
  <c r="Q526" i="6"/>
  <c r="P467" i="6"/>
  <c r="O467" i="6"/>
  <c r="Q467" i="6"/>
  <c r="P286" i="6"/>
  <c r="O286" i="6"/>
  <c r="Q286" i="6"/>
  <c r="P345" i="6"/>
  <c r="P338" i="6"/>
  <c r="O345" i="6"/>
  <c r="O338" i="6"/>
  <c r="Q345" i="6"/>
  <c r="Q338" i="6"/>
  <c r="P43" i="6"/>
  <c r="O43" i="6"/>
  <c r="Q27" i="6"/>
  <c r="P526" i="6"/>
  <c r="O526" i="6"/>
  <c r="Q192" i="6"/>
  <c r="P192" i="6"/>
  <c r="O192" i="6"/>
  <c r="P27" i="6"/>
  <c r="O27" i="6"/>
  <c r="Q519" i="6"/>
  <c r="Q70" i="6"/>
  <c r="P519" i="6"/>
  <c r="O519" i="6"/>
  <c r="P307" i="6"/>
  <c r="O306" i="6"/>
  <c r="P304" i="6"/>
  <c r="O303" i="6"/>
  <c r="P306" i="6"/>
  <c r="O305" i="6"/>
  <c r="O302" i="6"/>
  <c r="O307" i="6"/>
  <c r="O304" i="6"/>
  <c r="P300" i="6"/>
  <c r="P305" i="6"/>
  <c r="P302" i="6"/>
  <c r="O300" i="6"/>
  <c r="P303" i="6"/>
  <c r="Q300" i="6"/>
  <c r="Q306" i="6"/>
  <c r="Q307" i="6"/>
  <c r="Q305" i="6"/>
  <c r="Q302" i="6"/>
  <c r="Q303" i="6"/>
  <c r="Q304" i="6"/>
  <c r="P70" i="6"/>
  <c r="O70" i="6"/>
  <c r="P123" i="6"/>
  <c r="O123" i="6"/>
  <c r="Q123" i="6"/>
  <c r="O498" i="6"/>
  <c r="P496" i="6"/>
  <c r="O497" i="6"/>
  <c r="P497" i="6"/>
  <c r="O496" i="6"/>
  <c r="P498" i="6"/>
  <c r="Q496" i="6"/>
  <c r="Q497" i="6"/>
  <c r="Q498" i="6"/>
  <c r="Q417" i="6"/>
  <c r="P417" i="6"/>
  <c r="O417" i="6"/>
  <c r="Q252" i="6"/>
  <c r="Q253" i="6"/>
  <c r="Q251" i="6"/>
  <c r="P253" i="6"/>
  <c r="P251" i="6"/>
  <c r="O253" i="6"/>
  <c r="O251" i="6"/>
  <c r="P252" i="6"/>
  <c r="O252" i="6"/>
  <c r="P239" i="6"/>
  <c r="O239" i="6"/>
  <c r="Q239" i="6"/>
  <c r="Q229" i="6"/>
  <c r="Q228" i="6"/>
  <c r="Q227" i="6"/>
  <c r="P228" i="6"/>
  <c r="O227" i="6"/>
  <c r="P227" i="6"/>
  <c r="P229" i="6"/>
  <c r="O228" i="6"/>
  <c r="O229" i="6"/>
  <c r="Q222" i="6"/>
  <c r="Q224" i="6"/>
  <c r="O224" i="6"/>
  <c r="P222" i="6"/>
  <c r="P224" i="6"/>
  <c r="O222" i="6"/>
  <c r="Q189" i="6"/>
  <c r="P189" i="6"/>
  <c r="O189" i="6"/>
  <c r="P301" i="6"/>
  <c r="O301" i="6"/>
  <c r="Q301" i="6"/>
  <c r="O281" i="6"/>
  <c r="P277" i="6"/>
  <c r="P281" i="6"/>
  <c r="O280" i="6"/>
  <c r="O277" i="6"/>
  <c r="P280" i="6"/>
  <c r="Q280" i="6"/>
  <c r="Q281" i="6"/>
  <c r="Q277" i="6"/>
  <c r="P341" i="6"/>
  <c r="O340" i="6"/>
  <c r="O334" i="6"/>
  <c r="P331" i="6"/>
  <c r="O330" i="6"/>
  <c r="O343" i="6"/>
  <c r="P330" i="6"/>
  <c r="P342" i="6"/>
  <c r="O341" i="6"/>
  <c r="P335" i="6"/>
  <c r="P332" i="6"/>
  <c r="O331" i="6"/>
  <c r="P340" i="6"/>
  <c r="P334" i="6"/>
  <c r="O333" i="6"/>
  <c r="P343" i="6"/>
  <c r="O342" i="6"/>
  <c r="P336" i="6"/>
  <c r="O335" i="6"/>
  <c r="P333" i="6"/>
  <c r="O332" i="6"/>
  <c r="O336" i="6"/>
  <c r="Q342" i="6"/>
  <c r="Q335" i="6"/>
  <c r="Q332" i="6"/>
  <c r="Q331" i="6"/>
  <c r="Q343" i="6"/>
  <c r="Q336" i="6"/>
  <c r="Q333" i="6"/>
  <c r="Q340" i="6"/>
  <c r="Q334" i="6"/>
  <c r="Q330" i="6"/>
  <c r="Q341" i="6"/>
  <c r="O133" i="6"/>
  <c r="P133" i="6"/>
  <c r="Q133" i="6"/>
  <c r="P182" i="6"/>
  <c r="O182" i="6"/>
  <c r="Q182" i="6"/>
  <c r="Q45" i="6"/>
  <c r="Q250" i="6"/>
  <c r="P45" i="6"/>
  <c r="O45" i="6"/>
  <c r="Q77" i="6"/>
  <c r="Q86" i="6"/>
  <c r="O86" i="6"/>
  <c r="P86" i="6"/>
  <c r="P77" i="6"/>
  <c r="O77" i="6"/>
  <c r="P273" i="6"/>
  <c r="O269" i="6"/>
  <c r="O271" i="6"/>
  <c r="P269" i="6"/>
  <c r="O268" i="6"/>
  <c r="O273" i="6"/>
  <c r="P271" i="6"/>
  <c r="P268" i="6"/>
  <c r="Q273" i="6"/>
  <c r="Q271" i="6"/>
  <c r="Q268" i="6"/>
  <c r="Q269" i="6"/>
  <c r="Q466" i="6"/>
  <c r="P466" i="6"/>
  <c r="O466" i="6"/>
  <c r="P104" i="6"/>
  <c r="O104" i="6"/>
  <c r="Q104" i="6"/>
  <c r="Q218" i="6"/>
  <c r="Q525" i="6"/>
  <c r="P525" i="6"/>
  <c r="O525" i="6"/>
  <c r="P218" i="6"/>
  <c r="O218" i="6"/>
  <c r="P53" i="6"/>
  <c r="O53" i="6"/>
  <c r="Q55" i="6"/>
  <c r="Q53" i="6"/>
  <c r="P55" i="6"/>
  <c r="O55" i="6"/>
  <c r="P250" i="6"/>
  <c r="O250" i="6"/>
  <c r="P379" i="6"/>
  <c r="P380" i="6"/>
  <c r="O379" i="6"/>
  <c r="O380" i="6"/>
  <c r="Q380" i="6"/>
  <c r="Q379" i="6"/>
  <c r="Q404" i="6"/>
  <c r="O404" i="6"/>
  <c r="P404" i="6"/>
  <c r="O318" i="6"/>
  <c r="P317" i="6"/>
  <c r="O317" i="6"/>
  <c r="P318" i="6"/>
  <c r="Q317" i="6"/>
  <c r="Q318" i="6"/>
  <c r="P518" i="6"/>
  <c r="O518" i="6"/>
  <c r="Q518" i="6"/>
  <c r="Q507" i="6"/>
  <c r="P507" i="6"/>
  <c r="O507" i="6"/>
  <c r="Q527" i="6"/>
  <c r="P527" i="6"/>
  <c r="O527" i="6"/>
  <c r="Q433" i="6"/>
  <c r="Q434" i="6"/>
  <c r="O434" i="6"/>
  <c r="P433" i="6"/>
  <c r="P434" i="6"/>
  <c r="O433" i="6"/>
  <c r="P256" i="6"/>
  <c r="P257" i="6"/>
  <c r="O256" i="6"/>
  <c r="O257" i="6"/>
  <c r="Q257" i="6"/>
  <c r="Q256" i="6"/>
  <c r="O376" i="6"/>
  <c r="O373" i="6"/>
  <c r="P375" i="6"/>
  <c r="P372" i="6"/>
  <c r="P376" i="6"/>
  <c r="O375" i="6"/>
  <c r="P373" i="6"/>
  <c r="O372" i="6"/>
  <c r="Q375" i="6"/>
  <c r="Q372" i="6"/>
  <c r="Q376" i="6"/>
  <c r="Q373" i="6"/>
  <c r="P350" i="6"/>
  <c r="O350" i="6"/>
  <c r="Q350" i="6"/>
  <c r="O349" i="6"/>
  <c r="P348" i="6"/>
  <c r="P349" i="6"/>
  <c r="O348" i="6"/>
  <c r="Q348" i="6"/>
  <c r="Q349" i="6"/>
  <c r="O154" i="6"/>
  <c r="P154" i="6"/>
  <c r="P157" i="6"/>
  <c r="O157" i="6"/>
  <c r="Q157" i="6"/>
  <c r="Q154" i="6"/>
  <c r="Q131" i="6"/>
  <c r="Q132" i="6"/>
  <c r="P131" i="6"/>
  <c r="P132" i="6"/>
  <c r="O131" i="6"/>
  <c r="O132" i="6"/>
  <c r="Q468" i="6"/>
  <c r="P468" i="6"/>
  <c r="O468" i="6"/>
  <c r="P288" i="6"/>
  <c r="O288" i="6"/>
  <c r="Q288" i="6"/>
  <c r="O287" i="6"/>
  <c r="P284" i="6"/>
  <c r="P287" i="6"/>
  <c r="O284" i="6"/>
  <c r="Q284" i="6"/>
  <c r="Q287" i="6"/>
  <c r="Q102" i="6"/>
  <c r="P102" i="6"/>
  <c r="O102" i="6"/>
  <c r="P163" i="6"/>
  <c r="O163" i="6"/>
  <c r="Q163" i="6"/>
  <c r="P161" i="6"/>
  <c r="O161" i="6"/>
  <c r="Q161" i="6"/>
  <c r="P71" i="6"/>
  <c r="O69" i="6"/>
  <c r="P72" i="6"/>
  <c r="O71" i="6"/>
  <c r="O72" i="6"/>
  <c r="P69" i="6"/>
  <c r="Q72" i="6"/>
  <c r="Q71" i="6"/>
  <c r="Q69" i="6"/>
  <c r="O65" i="6"/>
  <c r="P62" i="6"/>
  <c r="O61" i="6"/>
  <c r="O59" i="6"/>
  <c r="P58" i="6"/>
  <c r="O57" i="6"/>
  <c r="P63" i="6"/>
  <c r="O62" i="6"/>
  <c r="P60" i="6"/>
  <c r="O58" i="6"/>
  <c r="P57" i="6"/>
  <c r="O56" i="6"/>
  <c r="O63" i="6"/>
  <c r="O60" i="6"/>
  <c r="P56" i="6"/>
  <c r="P65" i="6"/>
  <c r="P61" i="6"/>
  <c r="P59" i="6"/>
  <c r="Q63" i="6"/>
  <c r="Q60" i="6"/>
  <c r="Q58" i="6"/>
  <c r="Q56" i="6"/>
  <c r="Q65" i="6"/>
  <c r="Q61" i="6"/>
  <c r="Q59" i="6"/>
  <c r="Q57" i="6"/>
  <c r="Q62" i="6"/>
  <c r="Q49" i="6"/>
  <c r="Q48" i="6"/>
  <c r="Q51" i="6"/>
  <c r="Q52" i="6"/>
  <c r="Q47" i="6"/>
  <c r="P52" i="6"/>
  <c r="P48" i="6"/>
  <c r="O47" i="6"/>
  <c r="W47" i="6" s="1"/>
  <c r="P47" i="6"/>
  <c r="O52" i="6"/>
  <c r="P49" i="6"/>
  <c r="O48" i="6"/>
  <c r="O51" i="6"/>
  <c r="P51" i="6"/>
  <c r="O49" i="6"/>
  <c r="W49" i="6" s="1"/>
  <c r="P44" i="6"/>
  <c r="O44" i="6"/>
  <c r="Q44" i="6"/>
  <c r="Q23" i="6"/>
  <c r="Q24" i="6"/>
  <c r="P24" i="6"/>
  <c r="O23" i="6"/>
  <c r="O24" i="6"/>
  <c r="P23" i="6"/>
  <c r="Q382" i="6"/>
  <c r="P382" i="6"/>
  <c r="O382" i="6"/>
  <c r="Q397" i="6"/>
  <c r="P397" i="6"/>
  <c r="O397" i="6"/>
  <c r="Q105" i="6"/>
  <c r="P105" i="6"/>
  <c r="O105" i="6"/>
  <c r="Q204" i="6"/>
  <c r="B5" i="40"/>
  <c r="P204" i="6"/>
  <c r="O204" i="6"/>
  <c r="Q79" i="6"/>
  <c r="P79" i="6"/>
  <c r="O79" i="6"/>
  <c r="Q20" i="6"/>
  <c r="P20" i="6"/>
  <c r="O20" i="6"/>
  <c r="P405" i="6"/>
  <c r="O405" i="6"/>
  <c r="Q405" i="6"/>
  <c r="Q66" i="6"/>
  <c r="P66" i="6"/>
  <c r="O66" i="6"/>
  <c r="Q435" i="6"/>
  <c r="P435" i="6"/>
  <c r="O435" i="6"/>
  <c r="P114" i="6"/>
  <c r="O114" i="6"/>
  <c r="Q114" i="6"/>
  <c r="Q469" i="6"/>
  <c r="P469" i="6"/>
  <c r="O469" i="6"/>
  <c r="P142" i="6"/>
  <c r="O142" i="6"/>
  <c r="Q142" i="6"/>
  <c r="P259" i="6"/>
  <c r="O259" i="6"/>
  <c r="Q259" i="6"/>
  <c r="Q230" i="6"/>
  <c r="P230" i="6"/>
  <c r="O230" i="6"/>
  <c r="P193" i="6"/>
  <c r="Q130" i="6"/>
  <c r="Q159" i="6"/>
  <c r="Q22" i="6"/>
  <c r="O22" i="6"/>
  <c r="P22" i="6"/>
  <c r="Q153" i="6"/>
  <c r="Q19" i="6"/>
  <c r="P19" i="6"/>
  <c r="O19" i="6"/>
  <c r="O188" i="6"/>
  <c r="Q465" i="6"/>
  <c r="O193" i="6"/>
  <c r="Q488" i="6"/>
  <c r="P188" i="6"/>
  <c r="Q101" i="6"/>
  <c r="S8" i="21"/>
  <c r="S10" i="21"/>
  <c r="S12" i="21"/>
  <c r="P517" i="6"/>
  <c r="O495" i="6"/>
  <c r="O517" i="6"/>
  <c r="P499" i="6"/>
  <c r="O499" i="6"/>
  <c r="P495" i="6"/>
  <c r="P46" i="6"/>
  <c r="O42" i="6"/>
  <c r="O46" i="6"/>
  <c r="P42" i="6"/>
  <c r="O255" i="6"/>
  <c r="P255" i="6"/>
  <c r="P276" i="6"/>
  <c r="O276" i="6"/>
  <c r="O267" i="6"/>
  <c r="P267" i="6"/>
  <c r="Q46" i="6"/>
  <c r="Q42" i="6"/>
  <c r="P465" i="6"/>
  <c r="P488" i="6"/>
  <c r="O465" i="6"/>
  <c r="O488" i="6"/>
  <c r="Q371" i="6"/>
  <c r="Q347" i="6"/>
  <c r="Q359" i="6"/>
  <c r="P159" i="6"/>
  <c r="O159" i="6"/>
  <c r="Q308" i="6"/>
  <c r="Q283" i="6"/>
  <c r="Q299" i="6"/>
  <c r="Q339" i="6"/>
  <c r="Q329" i="6"/>
  <c r="Q315" i="6"/>
  <c r="Q319" i="6"/>
  <c r="P378" i="6"/>
  <c r="O390" i="6"/>
  <c r="O378" i="6"/>
  <c r="P390" i="6"/>
  <c r="Q21" i="6"/>
  <c r="Q16" i="6"/>
  <c r="P130" i="6"/>
  <c r="O130" i="6"/>
  <c r="P153" i="6"/>
  <c r="O153" i="6"/>
  <c r="Q193" i="6"/>
  <c r="Q188" i="6"/>
  <c r="P308" i="6"/>
  <c r="O308" i="6"/>
  <c r="P299" i="6"/>
  <c r="P283" i="6"/>
  <c r="O283" i="6"/>
  <c r="O299" i="6"/>
  <c r="O315" i="6"/>
  <c r="O329" i="6"/>
  <c r="O319" i="6"/>
  <c r="P315" i="6"/>
  <c r="P339" i="6"/>
  <c r="O339" i="6"/>
  <c r="P319" i="6"/>
  <c r="P329" i="6"/>
  <c r="S7" i="21"/>
  <c r="S9" i="21"/>
  <c r="S11" i="21"/>
  <c r="S13" i="21"/>
  <c r="Q96" i="6"/>
  <c r="Q74" i="6"/>
  <c r="Q75" i="6"/>
  <c r="Q432" i="6"/>
  <c r="P359" i="6"/>
  <c r="O371" i="6"/>
  <c r="O359" i="6"/>
  <c r="P347" i="6"/>
  <c r="O347" i="6"/>
  <c r="P371" i="6"/>
  <c r="Q426" i="6"/>
  <c r="Q403" i="6"/>
  <c r="O432" i="6"/>
  <c r="P432" i="6"/>
  <c r="P75" i="6"/>
  <c r="P74" i="6"/>
  <c r="O75" i="6"/>
  <c r="P96" i="6"/>
  <c r="O74" i="6"/>
  <c r="O96" i="6"/>
  <c r="Q524" i="6"/>
  <c r="Q528" i="6"/>
  <c r="O21" i="6"/>
  <c r="O16" i="6"/>
  <c r="P16" i="6"/>
  <c r="P21" i="6"/>
  <c r="Q226" i="6"/>
  <c r="Q255" i="6"/>
  <c r="Q276" i="6"/>
  <c r="Q267" i="6"/>
  <c r="Q390" i="6"/>
  <c r="Q378" i="6"/>
  <c r="Q499" i="6"/>
  <c r="Q517" i="6"/>
  <c r="Q495" i="6"/>
  <c r="P426" i="6"/>
  <c r="P403" i="6"/>
  <c r="O403" i="6"/>
  <c r="O426" i="6"/>
  <c r="O524" i="6"/>
  <c r="P524" i="6"/>
  <c r="P528" i="6"/>
  <c r="O528" i="6"/>
  <c r="O101" i="6"/>
  <c r="P101" i="6"/>
  <c r="O226" i="6"/>
  <c r="P226" i="6"/>
  <c r="W130" i="6" l="1"/>
  <c r="W188" i="6"/>
  <c r="W185" i="6"/>
  <c r="W207" i="6"/>
  <c r="W59" i="6"/>
  <c r="W138" i="6"/>
  <c r="W170" i="6"/>
  <c r="W175" i="6"/>
  <c r="I44" i="8" s="1"/>
  <c r="W60" i="6"/>
  <c r="W164" i="6"/>
  <c r="W173" i="6"/>
  <c r="W353" i="6"/>
  <c r="W483" i="6"/>
  <c r="W488" i="6"/>
  <c r="W493" i="6"/>
  <c r="W469" i="6"/>
  <c r="W92" i="6"/>
  <c r="W375" i="6"/>
  <c r="W75" i="6"/>
  <c r="W83" i="6"/>
  <c r="W82" i="6"/>
  <c r="W243" i="6"/>
  <c r="W98" i="6"/>
  <c r="W347" i="6"/>
  <c r="W85" i="6"/>
  <c r="W90" i="6"/>
  <c r="W232" i="6"/>
  <c r="W296" i="6"/>
  <c r="W329" i="6"/>
  <c r="W335" i="6"/>
  <c r="W276" i="6"/>
  <c r="W66" i="6"/>
  <c r="W16" i="6"/>
  <c r="W159" i="6"/>
  <c r="I8" i="8"/>
  <c r="M44" i="8"/>
  <c r="W74" i="6"/>
  <c r="I42" i="8"/>
  <c r="S14" i="21"/>
  <c r="W378" i="6"/>
  <c r="E27" i="8"/>
  <c r="W42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D20" i="8"/>
</calcChain>
</file>

<file path=xl/sharedStrings.xml><?xml version="1.0" encoding="utf-8"?>
<sst xmlns="http://schemas.openxmlformats.org/spreadsheetml/2006/main" count="3928" uniqueCount="662">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</sst>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München</v>
          </cell>
          <cell r="B5" t="str">
            <v>Union Berlin</v>
          </cell>
          <cell r="D5">
            <v>4</v>
          </cell>
          <cell r="E5">
            <v>1</v>
          </cell>
          <cell r="H5">
            <v>4</v>
          </cell>
          <cell r="I5">
            <v>0</v>
          </cell>
          <cell r="L5">
            <v>4</v>
          </cell>
          <cell r="M5">
            <v>1</v>
          </cell>
          <cell r="P5">
            <v>4</v>
          </cell>
          <cell r="Q5">
            <v>1</v>
          </cell>
          <cell r="T5">
            <v>4</v>
          </cell>
          <cell r="U5">
            <v>1</v>
          </cell>
        </row>
        <row r="6">
          <cell r="A6" t="str">
            <v>Leipzig</v>
          </cell>
          <cell r="B6" t="str">
            <v>Heidenheim</v>
          </cell>
          <cell r="D6">
            <v>3</v>
          </cell>
          <cell r="E6">
            <v>1</v>
          </cell>
          <cell r="H6">
            <v>3</v>
          </cell>
          <cell r="I6">
            <v>1</v>
          </cell>
          <cell r="L6">
            <v>3</v>
          </cell>
          <cell r="M6">
            <v>1</v>
          </cell>
          <cell r="P6">
            <v>3</v>
          </cell>
          <cell r="Q6">
            <v>1</v>
          </cell>
          <cell r="T6">
            <v>3</v>
          </cell>
          <cell r="U6">
            <v>1</v>
          </cell>
        </row>
        <row r="7">
          <cell r="A7" t="str">
            <v>Leverkusen</v>
          </cell>
          <cell r="B7" t="str">
            <v>Dortmund</v>
          </cell>
          <cell r="D7">
            <v>2</v>
          </cell>
          <cell r="E7">
            <v>2</v>
          </cell>
          <cell r="H7">
            <v>2</v>
          </cell>
          <cell r="I7">
            <v>1</v>
          </cell>
          <cell r="L7">
            <v>2</v>
          </cell>
          <cell r="M7">
            <v>2</v>
          </cell>
          <cell r="P7">
            <v>2</v>
          </cell>
          <cell r="Q7">
            <v>2</v>
          </cell>
          <cell r="T7">
            <v>3</v>
          </cell>
          <cell r="U7">
            <v>1</v>
          </cell>
        </row>
        <row r="8">
          <cell r="A8" t="str">
            <v>Mainz</v>
          </cell>
          <cell r="B8" t="str">
            <v>Freiburg</v>
          </cell>
          <cell r="D8">
            <v>1</v>
          </cell>
          <cell r="E8">
            <v>1</v>
          </cell>
          <cell r="H8">
            <v>1</v>
          </cell>
          <cell r="I8">
            <v>1</v>
          </cell>
          <cell r="L8">
            <v>1</v>
          </cell>
          <cell r="M8">
            <v>1</v>
          </cell>
          <cell r="P8">
            <v>1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M'gladbach</v>
          </cell>
          <cell r="B9" t="str">
            <v>Hoffenheim</v>
          </cell>
          <cell r="D9">
            <v>1</v>
          </cell>
          <cell r="E9">
            <v>2</v>
          </cell>
          <cell r="H9">
            <v>2</v>
          </cell>
          <cell r="I9">
            <v>1</v>
          </cell>
          <cell r="L9">
            <v>2</v>
          </cell>
          <cell r="M9">
            <v>1</v>
          </cell>
          <cell r="P9">
            <v>1</v>
          </cell>
          <cell r="Q9">
            <v>2</v>
          </cell>
          <cell r="T9">
            <v>2</v>
          </cell>
          <cell r="U9">
            <v>1</v>
          </cell>
        </row>
        <row r="10">
          <cell r="A10" t="str">
            <v>Bochum</v>
          </cell>
          <cell r="B10" t="str">
            <v>Wolfsburg</v>
          </cell>
          <cell r="D10">
            <v>1</v>
          </cell>
          <cell r="E10">
            <v>3</v>
          </cell>
          <cell r="H10">
            <v>1</v>
          </cell>
          <cell r="I10">
            <v>1</v>
          </cell>
          <cell r="L10">
            <v>1</v>
          </cell>
          <cell r="M10">
            <v>2</v>
          </cell>
          <cell r="P10">
            <v>1</v>
          </cell>
          <cell r="Q10">
            <v>3</v>
          </cell>
          <cell r="T10">
            <v>1</v>
          </cell>
          <cell r="U10">
            <v>2</v>
          </cell>
        </row>
        <row r="11">
          <cell r="A11" t="str">
            <v>Augsburg</v>
          </cell>
          <cell r="B11" t="str">
            <v>Frankfurt</v>
          </cell>
          <cell r="D11">
            <v>1</v>
          </cell>
          <cell r="E11">
            <v>2</v>
          </cell>
          <cell r="H11">
            <v>1</v>
          </cell>
          <cell r="I11">
            <v>2</v>
          </cell>
          <cell r="L11">
            <v>1</v>
          </cell>
          <cell r="M11">
            <v>2</v>
          </cell>
          <cell r="P11">
            <v>1</v>
          </cell>
          <cell r="Q11">
            <v>2</v>
          </cell>
          <cell r="T11">
            <v>1</v>
          </cell>
          <cell r="U11">
            <v>2</v>
          </cell>
        </row>
        <row r="12">
          <cell r="A12" t="str">
            <v>Stuttgart</v>
          </cell>
          <cell r="B12" t="str">
            <v>Bremen</v>
          </cell>
          <cell r="D12">
            <v>3</v>
          </cell>
          <cell r="E12">
            <v>1</v>
          </cell>
          <cell r="H12">
            <v>2</v>
          </cell>
          <cell r="I12">
            <v>1</v>
          </cell>
          <cell r="L12">
            <v>2</v>
          </cell>
          <cell r="M12">
            <v>1</v>
          </cell>
          <cell r="P12">
            <v>3</v>
          </cell>
          <cell r="Q12">
            <v>1</v>
          </cell>
          <cell r="T12">
            <v>3</v>
          </cell>
          <cell r="U12">
            <v>1</v>
          </cell>
        </row>
        <row r="13">
          <cell r="A13" t="str">
            <v>Darmstadt</v>
          </cell>
          <cell r="B13" t="str">
            <v>Köln</v>
          </cell>
          <cell r="D13">
            <v>1</v>
          </cell>
          <cell r="E13">
            <v>2</v>
          </cell>
          <cell r="H13">
            <v>0</v>
          </cell>
          <cell r="I13">
            <v>0</v>
          </cell>
          <cell r="L13">
            <v>1</v>
          </cell>
          <cell r="M13">
            <v>1</v>
          </cell>
          <cell r="P13">
            <v>1</v>
          </cell>
          <cell r="Q13">
            <v>2</v>
          </cell>
          <cell r="T13">
            <v>1</v>
          </cell>
          <cell r="U13">
            <v>1</v>
          </cell>
        </row>
        <row r="20">
          <cell r="D20">
            <v>4</v>
          </cell>
          <cell r="E20">
            <v>1</v>
          </cell>
          <cell r="H20">
            <v>2</v>
          </cell>
          <cell r="I20">
            <v>1</v>
          </cell>
          <cell r="L20">
            <v>2</v>
          </cell>
          <cell r="M20">
            <v>1</v>
          </cell>
          <cell r="P20">
            <v>4</v>
          </cell>
          <cell r="Q20">
            <v>0</v>
          </cell>
        </row>
        <row r="21">
          <cell r="D21">
            <v>3</v>
          </cell>
          <cell r="E21">
            <v>1</v>
          </cell>
          <cell r="H21">
            <v>2</v>
          </cell>
          <cell r="I21">
            <v>0</v>
          </cell>
          <cell r="L21">
            <v>2</v>
          </cell>
          <cell r="M21">
            <v>0</v>
          </cell>
          <cell r="P21">
            <v>3</v>
          </cell>
          <cell r="Q21">
            <v>1</v>
          </cell>
        </row>
        <row r="22">
          <cell r="D22">
            <v>3</v>
          </cell>
          <cell r="E22">
            <v>1</v>
          </cell>
          <cell r="H22">
            <v>3</v>
          </cell>
          <cell r="I22">
            <v>2</v>
          </cell>
          <cell r="L22">
            <v>2</v>
          </cell>
          <cell r="M22">
            <v>2</v>
          </cell>
          <cell r="P22">
            <v>2</v>
          </cell>
          <cell r="Q22">
            <v>1</v>
          </cell>
        </row>
        <row r="23">
          <cell r="D23">
            <v>2</v>
          </cell>
          <cell r="E23">
            <v>1</v>
          </cell>
          <cell r="H23">
            <v>1</v>
          </cell>
          <cell r="I23">
            <v>2</v>
          </cell>
          <cell r="L23">
            <v>1</v>
          </cell>
          <cell r="M23">
            <v>2</v>
          </cell>
          <cell r="P23">
            <v>1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2</v>
          </cell>
          <cell r="Q24">
            <v>1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1</v>
          </cell>
          <cell r="M25">
            <v>1</v>
          </cell>
          <cell r="P25">
            <v>1</v>
          </cell>
          <cell r="Q25">
            <v>1</v>
          </cell>
        </row>
        <row r="26">
          <cell r="D26">
            <v>1</v>
          </cell>
          <cell r="E26">
            <v>2</v>
          </cell>
          <cell r="H26">
            <v>1</v>
          </cell>
          <cell r="I26">
            <v>2</v>
          </cell>
          <cell r="L26">
            <v>1</v>
          </cell>
          <cell r="M26">
            <v>2</v>
          </cell>
          <cell r="P26">
            <v>1</v>
          </cell>
          <cell r="Q26">
            <v>2</v>
          </cell>
        </row>
        <row r="27">
          <cell r="D27">
            <v>3</v>
          </cell>
          <cell r="E27">
            <v>1</v>
          </cell>
          <cell r="H27">
            <v>1</v>
          </cell>
          <cell r="I27">
            <v>1</v>
          </cell>
          <cell r="L27">
            <v>1</v>
          </cell>
          <cell r="M27">
            <v>1</v>
          </cell>
          <cell r="P27">
            <v>2</v>
          </cell>
          <cell r="Q27">
            <v>1</v>
          </cell>
        </row>
        <row r="28">
          <cell r="D28">
            <v>1</v>
          </cell>
          <cell r="E28">
            <v>1</v>
          </cell>
          <cell r="H28">
            <v>1</v>
          </cell>
          <cell r="I28">
            <v>1</v>
          </cell>
          <cell r="L28">
            <v>1</v>
          </cell>
          <cell r="M28">
            <v>1</v>
          </cell>
          <cell r="P28">
            <v>0</v>
          </cell>
          <cell r="Q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4</v>
          </cell>
        </row>
      </sheetData>
      <sheetData sheetId="1">
        <row r="3">
          <cell r="B3">
            <v>13</v>
          </cell>
        </row>
      </sheetData>
      <sheetData sheetId="2">
        <row r="3">
          <cell r="B3">
            <v>3</v>
          </cell>
        </row>
      </sheetData>
      <sheetData sheetId="3">
        <row r="3">
          <cell r="B3">
            <v>4</v>
          </cell>
        </row>
      </sheetData>
      <sheetData sheetId="4">
        <row r="3">
          <cell r="B3">
            <v>0</v>
          </cell>
        </row>
      </sheetData>
      <sheetData sheetId="5">
        <row r="3">
          <cell r="B3">
            <v>0</v>
          </cell>
        </row>
      </sheetData>
      <sheetData sheetId="6">
        <row r="3">
          <cell r="B3">
            <v>5</v>
          </cell>
        </row>
      </sheetData>
      <sheetData sheetId="7">
        <row r="3">
          <cell r="B3">
            <v>12</v>
          </cell>
        </row>
      </sheetData>
      <sheetData sheetId="8">
        <row r="3">
          <cell r="B3">
            <v>7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Union Berlin</v>
      </c>
      <c r="C1" s="3">
        <f>Auswertung!I1</f>
        <v>1</v>
      </c>
      <c r="D1" s="4">
        <f>Auswertung!J1</f>
        <v>0</v>
      </c>
    </row>
    <row r="2" spans="1:6" x14ac:dyDescent="0.2">
      <c r="A2" s="1" t="str">
        <f>Auswertung!D2</f>
        <v>Leipzig</v>
      </c>
      <c r="B2" s="2" t="str">
        <f>Auswertung!E2</f>
        <v>Heidenheim</v>
      </c>
      <c r="C2" s="3">
        <f>Auswertung!I2</f>
        <v>2</v>
      </c>
      <c r="D2" s="4">
        <f>Auswertung!J2</f>
        <v>1</v>
      </c>
    </row>
    <row r="3" spans="1:6" x14ac:dyDescent="0.2">
      <c r="A3" s="1" t="str">
        <f>Auswertung!D3</f>
        <v>Leverkusen</v>
      </c>
      <c r="B3" s="2" t="str">
        <f>Auswertung!E3</f>
        <v>Dortmund</v>
      </c>
      <c r="C3" s="3">
        <f>Auswertung!I3</f>
        <v>1</v>
      </c>
      <c r="D3" s="4">
        <f>Auswertung!J3</f>
        <v>1</v>
      </c>
    </row>
    <row r="4" spans="1:6" x14ac:dyDescent="0.2">
      <c r="A4" s="1" t="str">
        <f>Auswertung!D4</f>
        <v>Mainz</v>
      </c>
      <c r="B4" s="2" t="str">
        <f>Auswertung!E4</f>
        <v>Freiburg</v>
      </c>
      <c r="C4" s="3">
        <f>Auswertung!I4</f>
        <v>0</v>
      </c>
      <c r="D4" s="4">
        <f>Auswertung!J4</f>
        <v>1</v>
      </c>
    </row>
    <row r="5" spans="1:6" x14ac:dyDescent="0.2">
      <c r="A5" s="1" t="str">
        <f>Auswertung!D5</f>
        <v>M'gladbach</v>
      </c>
      <c r="B5" s="2" t="str">
        <f>Auswertung!E5</f>
        <v>Hoffenheim</v>
      </c>
      <c r="C5" s="3">
        <f>Auswertung!I5</f>
        <v>2</v>
      </c>
      <c r="D5" s="4">
        <f>Auswertung!J5</f>
        <v>1</v>
      </c>
    </row>
    <row r="6" spans="1:6" x14ac:dyDescent="0.2">
      <c r="A6" s="1" t="str">
        <f>Auswertung!D6</f>
        <v>Bochum</v>
      </c>
      <c r="B6" s="2" t="str">
        <f>Auswertung!E6</f>
        <v>Wolfsburg</v>
      </c>
      <c r="C6" s="3">
        <f>Auswertung!I6</f>
        <v>3</v>
      </c>
      <c r="D6" s="4">
        <f>Auswertung!J6</f>
        <v>1</v>
      </c>
    </row>
    <row r="7" spans="1:6" x14ac:dyDescent="0.2">
      <c r="A7" s="1" t="str">
        <f>Auswertung!D7</f>
        <v>Augsburg</v>
      </c>
      <c r="B7" s="2" t="str">
        <f>Auswertung!E7</f>
        <v>Frankfurt</v>
      </c>
      <c r="C7" s="3">
        <f>Auswertung!I7</f>
        <v>2</v>
      </c>
      <c r="D7" s="4">
        <f>Auswertung!J7</f>
        <v>1</v>
      </c>
    </row>
    <row r="8" spans="1:6" x14ac:dyDescent="0.2">
      <c r="A8" s="1" t="str">
        <f>Auswertung!D8</f>
        <v>Stuttgart</v>
      </c>
      <c r="B8" s="2" t="str">
        <f>Auswertung!E8</f>
        <v>Bremen</v>
      </c>
      <c r="C8" s="3">
        <f>Auswertung!I8</f>
        <v>2</v>
      </c>
      <c r="D8" s="4">
        <f>Auswertung!J8</f>
        <v>0</v>
      </c>
    </row>
    <row r="9" spans="1:6" x14ac:dyDescent="0.2">
      <c r="A9" s="1" t="str">
        <f>Auswertung!D9</f>
        <v>Darmstadt</v>
      </c>
      <c r="B9" s="2" t="str">
        <f>Auswertung!E9</f>
        <v>Köln</v>
      </c>
      <c r="C9" s="3">
        <f>Auswertung!I9</f>
        <v>0</v>
      </c>
      <c r="D9" s="4">
        <f>Auswertung!J9</f>
        <v>1</v>
      </c>
    </row>
    <row r="12" spans="1:6" x14ac:dyDescent="0.2">
      <c r="A12" s="6" t="s">
        <v>49</v>
      </c>
      <c r="B12" s="6">
        <f t="shared" ref="B12:B47" si="0">SUM(C12:E12)</f>
        <v>1</v>
      </c>
      <c r="C12" s="6">
        <f>IF($A$1="München",$C$1,IF($A$2="München",$C$2,IF($A$3="München",$C$3,IF($A$4="München",$C$4,IF($A$5="München",$C$5,IF($A$6="München",$C$6,IF($A$7="München",$C$7,IF($A$7="München",$C$7,""))))))))</f>
        <v>1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326</v>
      </c>
      <c r="B14" s="6">
        <f t="shared" si="0"/>
        <v>0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0</v>
      </c>
      <c r="F14" s="6"/>
    </row>
    <row r="15" spans="1:6" ht="13.5" thickBot="1" x14ac:dyDescent="0.25">
      <c r="A15" s="7" t="s">
        <v>327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2</v>
      </c>
      <c r="F15" s="6"/>
    </row>
    <row r="16" spans="1:6" x14ac:dyDescent="0.2">
      <c r="A16" s="6" t="s">
        <v>34</v>
      </c>
      <c r="B16" s="6">
        <f t="shared" si="0"/>
        <v>1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1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1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1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1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421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422</v>
      </c>
      <c r="B21" s="7">
        <f t="shared" si="0"/>
        <v>1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1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>
        <f>IF($A$1="Leipzig",$C$1,IF($A$2="Leipzig",$C$2,IF($A$3="Leipzig",$C$3,IF($A$4="Leipzig",$C$4,IF($A$5="Leipzig",$C$5,IF($A$6="Leipzig",$C$6,IF($A$7="Leipzig",$C$7,IF($A$7="Leipzig",$C$7,""))))))))</f>
        <v>2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>
        <f>IF($A$1="Leipzig",$D$1,IF($A$2="Leipzig",$D$2,IF($A$3="Leipzig",$D$3,IF($A$4="Leipzig",$D$4,IF($A$5="Leipzig",$D$5,IF($A$6="Leipzig",$D$6,IF($A$7="Leipzig",$D$7,IF($A$7="Leipzig",$D$7,""))))))))</f>
        <v>1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266</v>
      </c>
      <c r="B24" s="6">
        <f t="shared" si="0"/>
        <v>3</v>
      </c>
      <c r="C24" s="6">
        <f>IF($A$1="Bochum",$C$1,IF($A$2="Bochum",$C$2,IF($A$3="Bochum",$C$3,IF($A$4="Bochum",$C$4,IF($A$5="Bochum",$C$5,IF($A$6="Bochum",$C$6,IF($A$7="Bochum",$C$7,IF($A$7="Bochum",$C$7,""))))))))</f>
        <v>3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267</v>
      </c>
      <c r="B25" s="7">
        <f t="shared" si="0"/>
        <v>1</v>
      </c>
      <c r="C25" s="7">
        <f>IF($A$1="Bochum",$D$1,IF($A$2="Bochum",$D$2,IF($A$3="Bochum",$D$3,IF($A$4="Bochum",$D$4,IF($A$5="Bochum",$D$5,IF($A$6="Bochum",$D$6,IF($A$7="Bochum",$D$7,IF($A$7="Bochum",$D$7,""))))))))</f>
        <v>1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230</v>
      </c>
      <c r="B26" s="6">
        <f t="shared" si="0"/>
        <v>2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2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231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0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1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1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3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1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2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181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182</v>
      </c>
      <c r="B33" s="7">
        <f t="shared" si="0"/>
        <v>1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1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176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>
        <f>IF($B$7="Köln",$D$7,IF($B$8="Köln",$D$8,IF($B$9="Köln",$D$9,"")))</f>
        <v>1</v>
      </c>
      <c r="F34" s="6"/>
    </row>
    <row r="35" spans="1:6" ht="13.5" thickBot="1" x14ac:dyDescent="0.25">
      <c r="A35" s="7" t="s">
        <v>177</v>
      </c>
      <c r="B35" s="7">
        <f t="shared" si="0"/>
        <v>0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>
        <f>IF($B$7="Köln",$C$7,IF($B$8="Köln",$C$8,IF($B$9="Köln",$C$9,"")))</f>
        <v>0</v>
      </c>
      <c r="F35" s="6"/>
    </row>
    <row r="36" spans="1:6" x14ac:dyDescent="0.2">
      <c r="A36" s="6" t="s">
        <v>423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424</v>
      </c>
      <c r="B37" s="7">
        <f t="shared" si="0"/>
        <v>2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2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2</v>
      </c>
      <c r="C38" s="6">
        <f>IF($A$1="Augsburg",$C$1,IF($A$2="Augsburg",$C$2,IF($A$3="Augsburg",$C$3,IF($A$4="Augsburg",$C$4,IF($A$5="Augsburg",$C$5,IF($A$6="Augsburg",$C$6,IF($A$7="Augsburg",$C$7,IF($A$7="Augsburg",$C$7,""))))))))</f>
        <v>2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>
        <f>IF($A$1="Augsburg",$D$1,IF($A$2="Augsburg",$D$2,IF($A$3="Augsburg",$D$3,IF($A$4="Augsburg",$D$4,IF($A$5="Augsburg",$D$5,IF($A$6="Augsburg",$D$6,IF($A$7="Augsburg",$D$7,IF($A$7="Augsburg",$D$7,""))))))))</f>
        <v>1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0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>
        <f>IF($B$7="Frankfurt",$D$7,IF($B$8="Frankfurt",$D$8,IF($B$9="Frankfurt",$D$9,"")))</f>
        <v>1</v>
      </c>
      <c r="F42" s="6"/>
    </row>
    <row r="43" spans="1:6" ht="13.5" thickBot="1" x14ac:dyDescent="0.25">
      <c r="A43" s="7" t="s">
        <v>105</v>
      </c>
      <c r="B43" s="7">
        <f t="shared" si="0"/>
        <v>2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>
        <f>IF($B$7="Frankfurt",$C$7,IF($B$8="Frankfurt",$C$8,IF($B$9="Frankfurt",$C$9,"")))</f>
        <v>2</v>
      </c>
      <c r="F43" s="6"/>
    </row>
    <row r="44" spans="1:6" x14ac:dyDescent="0.2">
      <c r="A44" s="6" t="s">
        <v>84</v>
      </c>
      <c r="B44" s="6">
        <f t="shared" si="0"/>
        <v>0</v>
      </c>
      <c r="C44" s="6">
        <f>IF($A$1="Mainz",$C$1,IF($A$2="Mainz",$C$2,IF($A$3="Mainz",$C$3,IF($A$4="Mainz",$C$4,IF($A$5="Mainz",$C$5,IF($A$6="Mainz",$C$6,IF($A$7="Mainz",$C$7,IF($A$7="Mainz",$C$7,""))))))))</f>
        <v>0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2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2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1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1"/>
  <sheetViews>
    <sheetView showGridLines="0" zoomScale="110" zoomScaleNormal="110" workbookViewId="0">
      <pane xSplit="9" ySplit="1" topLeftCell="J100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M117" sqref="M117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427</v>
      </c>
      <c r="U1" s="174" t="s">
        <v>428</v>
      </c>
      <c r="V1" s="174" t="s">
        <v>429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>
        <v>1</v>
      </c>
      <c r="M3" s="182">
        <v>1</v>
      </c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9" si="0">B3</f>
        <v>Manuel Neuer</v>
      </c>
    </row>
    <row r="4" spans="1:28" ht="10.5" customHeight="1" x14ac:dyDescent="0.2">
      <c r="A4" s="177">
        <v>18</v>
      </c>
      <c r="B4" s="178" t="s">
        <v>637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Daniel Peretz</v>
      </c>
    </row>
    <row r="5" spans="1:28" ht="10.5" customHeight="1" x14ac:dyDescent="0.2">
      <c r="A5" s="177">
        <v>26</v>
      </c>
      <c r="B5" s="178" t="s">
        <v>268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Sven Ulreich</v>
      </c>
    </row>
    <row r="6" spans="1:28" ht="10.5" customHeight="1" x14ac:dyDescent="0.2">
      <c r="A6" s="177">
        <v>43</v>
      </c>
      <c r="B6" s="178" t="s">
        <v>584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Tom Hülsmann</v>
      </c>
    </row>
    <row r="7" spans="1:28" ht="10.5" customHeight="1" x14ac:dyDescent="0.2">
      <c r="A7" s="183">
        <v>2</v>
      </c>
      <c r="B7" s="184" t="s">
        <v>157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Dayot Upamecano (A)</v>
      </c>
    </row>
    <row r="8" spans="1:28" ht="10.5" customHeight="1" x14ac:dyDescent="0.2">
      <c r="A8" s="183">
        <v>3</v>
      </c>
      <c r="B8" s="184" t="s">
        <v>430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>
        <v>2</v>
      </c>
      <c r="M8" s="182"/>
      <c r="N8" s="182">
        <v>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>B8</f>
        <v>Min-Jae Kim (A)</v>
      </c>
    </row>
    <row r="9" spans="1:28" ht="10.5" customHeight="1" x14ac:dyDescent="0.2">
      <c r="A9" s="183">
        <v>4</v>
      </c>
      <c r="B9" s="184" t="s">
        <v>330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0"/>
        <v>Matthijs de Ligt (A)</v>
      </c>
    </row>
    <row r="10" spans="1:28" ht="10.5" customHeight="1" x14ac:dyDescent="0.2">
      <c r="A10" s="183">
        <v>19</v>
      </c>
      <c r="B10" s="184" t="s">
        <v>184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ref="AB10" si="1">B10</f>
        <v>Alphonso Davies (A)</v>
      </c>
    </row>
    <row r="11" spans="1:28" ht="10.5" customHeight="1" x14ac:dyDescent="0.2">
      <c r="A11" s="183">
        <v>20</v>
      </c>
      <c r="B11" s="184" t="s">
        <v>255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431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331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577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/>
      <c r="M16" s="182"/>
      <c r="N16" s="182"/>
      <c r="O16" s="182"/>
      <c r="P16" s="182"/>
      <c r="Q16" s="182"/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>
        <v>6</v>
      </c>
      <c r="P17" s="182">
        <v>8</v>
      </c>
      <c r="Q17" s="182">
        <v>6</v>
      </c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27</v>
      </c>
      <c r="B18" s="189" t="s">
        <v>158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" si="4">B18</f>
        <v>Konrad Laimer (A)</v>
      </c>
    </row>
    <row r="19" spans="1:28" s="113" customFormat="1" ht="10.5" customHeight="1" x14ac:dyDescent="0.2">
      <c r="A19" s="188">
        <v>42</v>
      </c>
      <c r="B19" s="189" t="s">
        <v>254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" si="5">B19</f>
        <v>Jamal Musiala</v>
      </c>
    </row>
    <row r="20" spans="1:28" s="113" customFormat="1" ht="10.5" customHeight="1" x14ac:dyDescent="0.2">
      <c r="A20" s="188">
        <v>45</v>
      </c>
      <c r="B20" s="189" t="s">
        <v>595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ref="AB20" si="6">B20</f>
        <v>Aleksandar Pavlovic</v>
      </c>
    </row>
    <row r="21" spans="1:28" s="113" customFormat="1" ht="10.5" customHeight="1" x14ac:dyDescent="0.2">
      <c r="A21" s="193">
        <v>7</v>
      </c>
      <c r="B21" s="194" t="s">
        <v>161</v>
      </c>
      <c r="C21" s="195" t="s">
        <v>3</v>
      </c>
      <c r="D21" s="196" t="s">
        <v>59</v>
      </c>
      <c r="E21" s="196" t="s">
        <v>59</v>
      </c>
      <c r="F21" s="197" t="s">
        <v>59</v>
      </c>
      <c r="G21" s="197" t="s">
        <v>59</v>
      </c>
      <c r="H21" s="197"/>
      <c r="I21" s="196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Serge Gnabry</v>
      </c>
    </row>
    <row r="22" spans="1:28" s="113" customFormat="1" ht="10.5" customHeight="1" x14ac:dyDescent="0.2">
      <c r="A22" s="193">
        <v>9</v>
      </c>
      <c r="B22" s="194" t="s">
        <v>574</v>
      </c>
      <c r="C22" s="195" t="s">
        <v>3</v>
      </c>
      <c r="D22" s="196" t="s">
        <v>59</v>
      </c>
      <c r="E22" s="196" t="s">
        <v>59</v>
      </c>
      <c r="F22" s="197" t="s">
        <v>59</v>
      </c>
      <c r="G22" s="197" t="s">
        <v>59</v>
      </c>
      <c r="H22" s="197"/>
      <c r="I22" s="196"/>
      <c r="J22" s="181"/>
      <c r="K22" s="182">
        <v>10</v>
      </c>
      <c r="L22" s="182"/>
      <c r="M22" s="182">
        <v>11</v>
      </c>
      <c r="N22" s="182">
        <v>9</v>
      </c>
      <c r="O22" s="182">
        <v>11</v>
      </c>
      <c r="P22" s="182">
        <v>9</v>
      </c>
      <c r="Q22" s="182">
        <v>9</v>
      </c>
      <c r="R22" s="182">
        <v>9</v>
      </c>
      <c r="S22" s="182">
        <v>9</v>
      </c>
      <c r="T22" s="182"/>
      <c r="U22" s="182"/>
      <c r="V22" s="182"/>
      <c r="W22" s="182"/>
      <c r="X22" s="182"/>
      <c r="Y22" s="182"/>
      <c r="Z22" s="172"/>
      <c r="AB22" s="175" t="str">
        <f>B22</f>
        <v>Harry Kane (A)</v>
      </c>
    </row>
    <row r="23" spans="1:28" s="113" customFormat="1" ht="10.5" customHeight="1" x14ac:dyDescent="0.2">
      <c r="A23" s="193">
        <v>10</v>
      </c>
      <c r="B23" s="194" t="s">
        <v>600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>
        <v>9</v>
      </c>
      <c r="L23" s="182"/>
      <c r="M23" s="182"/>
      <c r="N23" s="182"/>
      <c r="O23" s="182"/>
      <c r="P23" s="182"/>
      <c r="Q23" s="182"/>
      <c r="R23" s="182">
        <v>10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Leroy Sané</v>
      </c>
    </row>
    <row r="24" spans="1:28" s="113" customFormat="1" ht="10.5" customHeight="1" x14ac:dyDescent="0.2">
      <c r="A24" s="193">
        <v>11</v>
      </c>
      <c r="B24" s="194" t="s">
        <v>139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:AB25" si="7">B24</f>
        <v>Kingsley Coman (A)</v>
      </c>
    </row>
    <row r="25" spans="1:28" s="113" customFormat="1" ht="10.5" customHeight="1" x14ac:dyDescent="0.2">
      <c r="A25" s="193">
        <v>13</v>
      </c>
      <c r="B25" s="194" t="s">
        <v>256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si="7"/>
        <v>Eric-Maxim Choupo-Moting</v>
      </c>
    </row>
    <row r="26" spans="1:28" s="113" customFormat="1" ht="10.5" customHeight="1" x14ac:dyDescent="0.2">
      <c r="A26" s="193">
        <v>25</v>
      </c>
      <c r="B26" s="194" t="s">
        <v>80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Thomas Müller</v>
      </c>
    </row>
    <row r="27" spans="1:28" s="113" customFormat="1" ht="10.5" customHeight="1" x14ac:dyDescent="0.2">
      <c r="A27" s="193">
        <v>39</v>
      </c>
      <c r="B27" s="194" t="s">
        <v>332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ref="AB27" si="8">B27</f>
        <v>Mathys Tel (A)</v>
      </c>
    </row>
    <row r="28" spans="1:28" ht="15" customHeight="1" thickBot="1" x14ac:dyDescent="0.25">
      <c r="A28" s="220" t="s">
        <v>32</v>
      </c>
      <c r="B28" s="220"/>
      <c r="C28" s="220"/>
      <c r="D28" s="220"/>
      <c r="E28" s="220"/>
      <c r="F28" s="220"/>
      <c r="G28" s="220"/>
      <c r="H28" s="220"/>
      <c r="I28" s="220"/>
      <c r="J28" s="10"/>
      <c r="K28" s="176">
        <v>12</v>
      </c>
      <c r="L28" s="176">
        <v>12</v>
      </c>
      <c r="M28" s="176">
        <v>12</v>
      </c>
      <c r="N28" s="176">
        <v>12</v>
      </c>
      <c r="O28" s="176">
        <v>12</v>
      </c>
      <c r="P28" s="176">
        <v>12</v>
      </c>
      <c r="Q28" s="176">
        <v>12</v>
      </c>
      <c r="R28" s="176">
        <v>12</v>
      </c>
      <c r="S28" s="176">
        <v>12</v>
      </c>
      <c r="T28" s="176">
        <v>12</v>
      </c>
      <c r="U28" s="176">
        <v>12</v>
      </c>
      <c r="V28" s="176">
        <v>12</v>
      </c>
      <c r="W28" s="176">
        <v>12</v>
      </c>
      <c r="X28" s="176">
        <v>12</v>
      </c>
      <c r="Y28" s="176">
        <v>12</v>
      </c>
      <c r="Z28" s="217"/>
      <c r="AB28" s="175" t="str">
        <f>A28</f>
        <v>Borussia Dortmund</v>
      </c>
    </row>
    <row r="29" spans="1:28" s="113" customFormat="1" ht="10.5" customHeight="1" x14ac:dyDescent="0.2">
      <c r="A29" s="177">
        <v>1</v>
      </c>
      <c r="B29" s="178" t="s">
        <v>244</v>
      </c>
      <c r="C29" s="178" t="s">
        <v>0</v>
      </c>
      <c r="D29" s="179" t="s">
        <v>59</v>
      </c>
      <c r="E29" s="179" t="s">
        <v>59</v>
      </c>
      <c r="F29" s="180" t="s">
        <v>59</v>
      </c>
      <c r="G29" s="180" t="s">
        <v>59</v>
      </c>
      <c r="H29" s="180"/>
      <c r="I29" s="179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Gregor Kobel (A)</v>
      </c>
    </row>
    <row r="30" spans="1:28" s="113" customFormat="1" ht="10.5" customHeight="1" x14ac:dyDescent="0.2">
      <c r="A30" s="177">
        <v>31</v>
      </c>
      <c r="B30" s="178" t="s">
        <v>401</v>
      </c>
      <c r="C30" s="178" t="s">
        <v>0</v>
      </c>
      <c r="D30" s="179" t="s">
        <v>59</v>
      </c>
      <c r="E30" s="179" t="s">
        <v>59</v>
      </c>
      <c r="F30" s="180" t="s">
        <v>59</v>
      </c>
      <c r="G30" s="180" t="s">
        <v>59</v>
      </c>
      <c r="H30" s="180"/>
      <c r="I30" s="179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Silas Ostrzinski</v>
      </c>
    </row>
    <row r="31" spans="1:28" s="113" customFormat="1" ht="10.5" customHeight="1" x14ac:dyDescent="0.2">
      <c r="A31" s="177">
        <v>33</v>
      </c>
      <c r="B31" s="178" t="s">
        <v>333</v>
      </c>
      <c r="C31" s="178" t="s">
        <v>0</v>
      </c>
      <c r="D31" s="179" t="s">
        <v>59</v>
      </c>
      <c r="E31" s="179" t="s">
        <v>59</v>
      </c>
      <c r="F31" s="180" t="s">
        <v>59</v>
      </c>
      <c r="G31" s="180" t="s">
        <v>59</v>
      </c>
      <c r="H31" s="180"/>
      <c r="I31" s="179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ref="AB31" si="10">B31</f>
        <v>Alexander Meyer</v>
      </c>
    </row>
    <row r="32" spans="1:28" s="113" customFormat="1" ht="10.5" customHeight="1" x14ac:dyDescent="0.2">
      <c r="A32" s="177">
        <v>35</v>
      </c>
      <c r="B32" s="178" t="s">
        <v>325</v>
      </c>
      <c r="C32" s="178" t="s">
        <v>0</v>
      </c>
      <c r="D32" s="179" t="s">
        <v>59</v>
      </c>
      <c r="E32" s="179" t="s">
        <v>59</v>
      </c>
      <c r="F32" s="180" t="s">
        <v>59</v>
      </c>
      <c r="G32" s="180" t="s">
        <v>59</v>
      </c>
      <c r="H32" s="180"/>
      <c r="I32" s="179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1">B32</f>
        <v>Marcel Lotka</v>
      </c>
    </row>
    <row r="33" spans="1:28" s="113" customFormat="1" ht="10.5" customHeight="1" x14ac:dyDescent="0.2">
      <c r="A33" s="198">
        <v>2</v>
      </c>
      <c r="B33" s="199" t="s">
        <v>185</v>
      </c>
      <c r="C33" s="185" t="s">
        <v>1</v>
      </c>
      <c r="D33" s="186" t="s">
        <v>59</v>
      </c>
      <c r="E33" s="186" t="s">
        <v>59</v>
      </c>
      <c r="F33" s="187" t="s">
        <v>59</v>
      </c>
      <c r="G33" s="187" t="s">
        <v>59</v>
      </c>
      <c r="H33" s="187"/>
      <c r="I33" s="18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Mateu Morey (A)</v>
      </c>
    </row>
    <row r="34" spans="1:28" s="113" customFormat="1" ht="10.5" customHeight="1" x14ac:dyDescent="0.2">
      <c r="A34" s="198">
        <v>4</v>
      </c>
      <c r="B34" s="199" t="s">
        <v>199</v>
      </c>
      <c r="C34" s="185" t="s">
        <v>1</v>
      </c>
      <c r="D34" s="186" t="s">
        <v>59</v>
      </c>
      <c r="E34" s="186" t="s">
        <v>59</v>
      </c>
      <c r="F34" s="187" t="s">
        <v>59</v>
      </c>
      <c r="G34" s="187" t="s">
        <v>59</v>
      </c>
      <c r="H34" s="187"/>
      <c r="I34" s="186"/>
      <c r="J34" s="181"/>
      <c r="K34" s="182"/>
      <c r="L34" s="182"/>
      <c r="M34" s="182">
        <v>2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:AB41" si="12">B34</f>
        <v>Nico Schlotterbeck</v>
      </c>
    </row>
    <row r="35" spans="1:28" s="113" customFormat="1" ht="10.5" customHeight="1" x14ac:dyDescent="0.2">
      <c r="A35" s="198">
        <v>5</v>
      </c>
      <c r="B35" s="199" t="s">
        <v>216</v>
      </c>
      <c r="C35" s="185" t="s">
        <v>1</v>
      </c>
      <c r="D35" s="186" t="s">
        <v>59</v>
      </c>
      <c r="E35" s="186" t="s">
        <v>59</v>
      </c>
      <c r="F35" s="187" t="s">
        <v>59</v>
      </c>
      <c r="G35" s="187" t="s">
        <v>59</v>
      </c>
      <c r="H35" s="187"/>
      <c r="I35" s="186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2"/>
        <v>Ramy Bensebaini (A)</v>
      </c>
    </row>
    <row r="36" spans="1:28" s="113" customFormat="1" ht="10.5" customHeight="1" x14ac:dyDescent="0.2">
      <c r="A36" s="198">
        <v>15</v>
      </c>
      <c r="B36" s="199" t="s">
        <v>60</v>
      </c>
      <c r="C36" s="185" t="s">
        <v>1</v>
      </c>
      <c r="D36" s="186" t="s">
        <v>59</v>
      </c>
      <c r="E36" s="186" t="s">
        <v>59</v>
      </c>
      <c r="F36" s="187" t="s">
        <v>59</v>
      </c>
      <c r="G36" s="187" t="s">
        <v>59</v>
      </c>
      <c r="H36" s="187"/>
      <c r="I36" s="186"/>
      <c r="J36" s="181"/>
      <c r="K36" s="182">
        <v>4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si="12"/>
        <v>Mats Hummels</v>
      </c>
    </row>
    <row r="37" spans="1:28" s="113" customFormat="1" ht="10.5" customHeight="1" x14ac:dyDescent="0.2">
      <c r="A37" s="198">
        <v>17</v>
      </c>
      <c r="B37" s="199" t="s">
        <v>252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Marius Wolf</v>
      </c>
    </row>
    <row r="38" spans="1:28" s="113" customFormat="1" ht="10.5" customHeight="1" x14ac:dyDescent="0.2">
      <c r="A38" s="198">
        <v>24</v>
      </c>
      <c r="B38" s="199" t="s">
        <v>232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si="12"/>
        <v>Thomas Meunier (A)</v>
      </c>
    </row>
    <row r="39" spans="1:28" s="113" customFormat="1" ht="10.5" customHeight="1" x14ac:dyDescent="0.2">
      <c r="A39" s="198">
        <v>25</v>
      </c>
      <c r="B39" s="199" t="s">
        <v>118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>
        <v>2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Niklas Süle</v>
      </c>
    </row>
    <row r="40" spans="1:28" s="113" customFormat="1" ht="10.5" customHeight="1" x14ac:dyDescent="0.2">
      <c r="A40" s="198">
        <v>26</v>
      </c>
      <c r="B40" s="199" t="s">
        <v>212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Julian Ryerson (A)</v>
      </c>
    </row>
    <row r="41" spans="1:28" s="113" customFormat="1" ht="10.5" customHeight="1" x14ac:dyDescent="0.2">
      <c r="A41" s="198">
        <v>44</v>
      </c>
      <c r="B41" s="199" t="s">
        <v>270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Soumalia Coulibaly (A)</v>
      </c>
    </row>
    <row r="42" spans="1:28" s="113" customFormat="1" ht="10.5" customHeight="1" x14ac:dyDescent="0.2">
      <c r="A42" s="198">
        <v>47</v>
      </c>
      <c r="B42" s="199" t="s">
        <v>397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4">B42</f>
        <v>Antonis Papadopoulos</v>
      </c>
    </row>
    <row r="43" spans="1:28" s="113" customFormat="1" ht="10.5" customHeight="1" x14ac:dyDescent="0.2">
      <c r="A43" s="200">
        <v>6</v>
      </c>
      <c r="B43" s="190" t="s">
        <v>300</v>
      </c>
      <c r="C43" s="190" t="s">
        <v>2</v>
      </c>
      <c r="D43" s="191" t="s">
        <v>59</v>
      </c>
      <c r="E43" s="191" t="s">
        <v>59</v>
      </c>
      <c r="F43" s="192" t="s">
        <v>59</v>
      </c>
      <c r="G43" s="192" t="s">
        <v>59</v>
      </c>
      <c r="H43" s="192"/>
      <c r="I43" s="191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ref="AB43:AB52" si="15">B43</f>
        <v>Salih Özcan</v>
      </c>
    </row>
    <row r="44" spans="1:28" s="113" customFormat="1" ht="10.5" customHeight="1" x14ac:dyDescent="0.2">
      <c r="A44" s="200">
        <v>7</v>
      </c>
      <c r="B44" s="190" t="s">
        <v>217</v>
      </c>
      <c r="C44" s="190" t="s">
        <v>2</v>
      </c>
      <c r="D44" s="191" t="s">
        <v>59</v>
      </c>
      <c r="E44" s="191" t="s">
        <v>59</v>
      </c>
      <c r="F44" s="192" t="s">
        <v>59</v>
      </c>
      <c r="G44" s="192" t="s">
        <v>59</v>
      </c>
      <c r="H44" s="192"/>
      <c r="I44" s="191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5"/>
        <v>Giovanni Reyna (A)</v>
      </c>
    </row>
    <row r="45" spans="1:28" s="113" customFormat="1" ht="10.5" customHeight="1" x14ac:dyDescent="0.2">
      <c r="A45" s="200">
        <v>8</v>
      </c>
      <c r="B45" s="190" t="s">
        <v>275</v>
      </c>
      <c r="C45" s="190" t="s">
        <v>2</v>
      </c>
      <c r="D45" s="191" t="s">
        <v>59</v>
      </c>
      <c r="E45" s="191" t="s">
        <v>59</v>
      </c>
      <c r="F45" s="192" t="s">
        <v>59</v>
      </c>
      <c r="G45" s="192" t="s">
        <v>59</v>
      </c>
      <c r="H45" s="192"/>
      <c r="I45" s="191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5"/>
        <v>Felix Nmecha</v>
      </c>
    </row>
    <row r="46" spans="1:28" s="113" customFormat="1" ht="10.5" customHeight="1" x14ac:dyDescent="0.2">
      <c r="A46" s="200">
        <v>11</v>
      </c>
      <c r="B46" s="190" t="s">
        <v>83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>
        <v>6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5"/>
        <v>Marco Reus</v>
      </c>
    </row>
    <row r="47" spans="1:28" s="113" customFormat="1" ht="10.5" customHeight="1" x14ac:dyDescent="0.2">
      <c r="A47" s="200">
        <v>19</v>
      </c>
      <c r="B47" s="190" t="s">
        <v>121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>
        <v>8</v>
      </c>
      <c r="L47" s="182"/>
      <c r="M47" s="182"/>
      <c r="N47" s="182">
        <v>5</v>
      </c>
      <c r="O47" s="182"/>
      <c r="P47" s="182"/>
      <c r="Q47" s="182"/>
      <c r="R47" s="182">
        <v>8</v>
      </c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5"/>
        <v>Julian Brandt</v>
      </c>
    </row>
    <row r="48" spans="1:28" s="113" customFormat="1" ht="10.5" customHeight="1" x14ac:dyDescent="0.2">
      <c r="A48" s="200">
        <v>20</v>
      </c>
      <c r="B48" s="190" t="s">
        <v>432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5"/>
        <v>Marcel Sabitzer (A)</v>
      </c>
    </row>
    <row r="49" spans="1:28" s="113" customFormat="1" ht="10.5" customHeight="1" x14ac:dyDescent="0.2">
      <c r="A49" s="200">
        <v>23</v>
      </c>
      <c r="B49" s="190" t="s">
        <v>221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5"/>
        <v>Emre Can</v>
      </c>
    </row>
    <row r="50" spans="1:28" s="113" customFormat="1" ht="10.5" customHeight="1" x14ac:dyDescent="0.2">
      <c r="A50" s="200">
        <v>30</v>
      </c>
      <c r="B50" s="190" t="s">
        <v>433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5"/>
        <v>Ole Pohlmann</v>
      </c>
    </row>
    <row r="51" spans="1:28" s="113" customFormat="1" ht="10.5" customHeight="1" x14ac:dyDescent="0.2">
      <c r="A51" s="200">
        <v>32</v>
      </c>
      <c r="B51" s="190" t="s">
        <v>271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" si="16">B51</f>
        <v>Abdoulaye Kamara (A)</v>
      </c>
    </row>
    <row r="52" spans="1:28" s="113" customFormat="1" ht="10.5" customHeight="1" x14ac:dyDescent="0.2">
      <c r="A52" s="200">
        <v>48</v>
      </c>
      <c r="B52" s="190" t="s">
        <v>578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5"/>
        <v>Samuel Bamba</v>
      </c>
    </row>
    <row r="53" spans="1:28" ht="10.5" customHeight="1" x14ac:dyDescent="0.2">
      <c r="A53" s="201">
        <v>9</v>
      </c>
      <c r="B53" s="195" t="s">
        <v>334</v>
      </c>
      <c r="C53" s="195" t="s">
        <v>3</v>
      </c>
      <c r="D53" s="196" t="s">
        <v>59</v>
      </c>
      <c r="E53" s="196" t="s">
        <v>59</v>
      </c>
      <c r="F53" s="196" t="s">
        <v>59</v>
      </c>
      <c r="G53" s="196" t="s">
        <v>59</v>
      </c>
      <c r="H53" s="197"/>
      <c r="I53" s="196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AB53" s="175" t="str">
        <f>B53</f>
        <v>Sebastien Haller (A)</v>
      </c>
    </row>
    <row r="54" spans="1:28" ht="10.5" customHeight="1" x14ac:dyDescent="0.2">
      <c r="A54" s="201">
        <v>14</v>
      </c>
      <c r="B54" s="195" t="s">
        <v>386</v>
      </c>
      <c r="C54" s="195" t="s">
        <v>3</v>
      </c>
      <c r="D54" s="196" t="s">
        <v>59</v>
      </c>
      <c r="E54" s="196" t="s">
        <v>59</v>
      </c>
      <c r="F54" s="196" t="s">
        <v>59</v>
      </c>
      <c r="G54" s="196" t="s">
        <v>59</v>
      </c>
      <c r="H54" s="197"/>
      <c r="I54" s="196"/>
      <c r="J54" s="181"/>
      <c r="K54" s="182"/>
      <c r="L54" s="182">
        <v>11</v>
      </c>
      <c r="M54" s="182"/>
      <c r="N54" s="182"/>
      <c r="O54" s="182"/>
      <c r="P54" s="182"/>
      <c r="Q54" s="182">
        <v>10</v>
      </c>
      <c r="R54" s="182">
        <v>11</v>
      </c>
      <c r="S54" s="182">
        <v>10</v>
      </c>
      <c r="T54" s="182"/>
      <c r="U54" s="182"/>
      <c r="V54" s="182"/>
      <c r="W54" s="182"/>
      <c r="X54" s="182"/>
      <c r="Y54" s="182"/>
      <c r="AB54" s="175" t="str">
        <f>B54</f>
        <v>Niclas Füllkrug</v>
      </c>
    </row>
    <row r="55" spans="1:28" ht="10.5" customHeight="1" x14ac:dyDescent="0.2">
      <c r="A55" s="201">
        <v>16</v>
      </c>
      <c r="B55" s="195" t="s">
        <v>409</v>
      </c>
      <c r="C55" s="195" t="s">
        <v>3</v>
      </c>
      <c r="D55" s="196" t="s">
        <v>59</v>
      </c>
      <c r="E55" s="196" t="s">
        <v>59</v>
      </c>
      <c r="F55" s="196" t="s">
        <v>59</v>
      </c>
      <c r="G55" s="196" t="s">
        <v>59</v>
      </c>
      <c r="H55" s="197"/>
      <c r="I55" s="196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AB55" s="175" t="str">
        <f>B55</f>
        <v>Julien Duranville (A)</v>
      </c>
    </row>
    <row r="56" spans="1:28" ht="10.5" customHeight="1" x14ac:dyDescent="0.2">
      <c r="A56" s="201">
        <v>18</v>
      </c>
      <c r="B56" s="195" t="s">
        <v>272</v>
      </c>
      <c r="C56" s="195" t="s">
        <v>3</v>
      </c>
      <c r="D56" s="196" t="s">
        <v>59</v>
      </c>
      <c r="E56" s="196" t="s">
        <v>59</v>
      </c>
      <c r="F56" s="196" t="s">
        <v>59</v>
      </c>
      <c r="G56" s="196" t="s">
        <v>59</v>
      </c>
      <c r="H56" s="197"/>
      <c r="I56" s="196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AB56" s="175" t="str">
        <f t="shared" ref="AB56:AB59" si="17">B56</f>
        <v xml:space="preserve">Youssoufa Moukoko </v>
      </c>
    </row>
    <row r="57" spans="1:28" ht="10.5" customHeight="1" x14ac:dyDescent="0.2">
      <c r="A57" s="201">
        <v>21</v>
      </c>
      <c r="B57" s="195" t="s">
        <v>273</v>
      </c>
      <c r="C57" s="195" t="s">
        <v>3</v>
      </c>
      <c r="D57" s="196" t="s">
        <v>59</v>
      </c>
      <c r="E57" s="196" t="s">
        <v>59</v>
      </c>
      <c r="F57" s="196" t="s">
        <v>59</v>
      </c>
      <c r="G57" s="196" t="s">
        <v>59</v>
      </c>
      <c r="H57" s="197"/>
      <c r="I57" s="196"/>
      <c r="J57" s="181"/>
      <c r="K57" s="182"/>
      <c r="L57" s="182"/>
      <c r="M57" s="182"/>
      <c r="N57" s="182"/>
      <c r="O57" s="182"/>
      <c r="P57" s="182"/>
      <c r="Q57" s="182">
        <v>11</v>
      </c>
      <c r="R57" s="182"/>
      <c r="S57" s="182"/>
      <c r="T57" s="182"/>
      <c r="U57" s="182"/>
      <c r="V57" s="182"/>
      <c r="W57" s="182"/>
      <c r="X57" s="182"/>
      <c r="Y57" s="182"/>
      <c r="AB57" s="175" t="str">
        <f t="shared" ref="AB57" si="18">B57</f>
        <v>Donyell Malen (A)</v>
      </c>
    </row>
    <row r="58" spans="1:28" ht="10.5" customHeight="1" x14ac:dyDescent="0.2">
      <c r="A58" s="201">
        <v>27</v>
      </c>
      <c r="B58" s="195" t="s">
        <v>335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AB58" s="175" t="str">
        <f t="shared" si="17"/>
        <v>Karim Adeyemi</v>
      </c>
    </row>
    <row r="59" spans="1:28" ht="9.75" customHeight="1" x14ac:dyDescent="0.2">
      <c r="A59" s="201">
        <v>43</v>
      </c>
      <c r="B59" s="195" t="s">
        <v>336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 t="shared" si="17"/>
        <v>Jamie Bynoe-Gittens (A)</v>
      </c>
    </row>
    <row r="60" spans="1:28" ht="15" customHeight="1" thickBot="1" x14ac:dyDescent="0.25">
      <c r="A60" s="219" t="s">
        <v>128</v>
      </c>
      <c r="B60" s="219"/>
      <c r="C60" s="219"/>
      <c r="D60" s="219"/>
      <c r="E60" s="219"/>
      <c r="F60" s="219"/>
      <c r="G60" s="219"/>
      <c r="H60" s="219"/>
      <c r="I60" s="219"/>
      <c r="J60" s="10"/>
      <c r="K60" s="176">
        <v>12</v>
      </c>
      <c r="L60" s="176">
        <v>12</v>
      </c>
      <c r="M60" s="176">
        <v>12</v>
      </c>
      <c r="N60" s="176">
        <v>12</v>
      </c>
      <c r="O60" s="176">
        <v>12</v>
      </c>
      <c r="P60" s="176">
        <v>12</v>
      </c>
      <c r="Q60" s="176">
        <v>12</v>
      </c>
      <c r="R60" s="176">
        <v>12</v>
      </c>
      <c r="S60" s="176">
        <v>12</v>
      </c>
      <c r="T60" s="176">
        <v>12</v>
      </c>
      <c r="U60" s="176">
        <v>12</v>
      </c>
      <c r="V60" s="176">
        <v>12</v>
      </c>
      <c r="W60" s="176">
        <v>12</v>
      </c>
      <c r="X60" s="176">
        <v>12</v>
      </c>
      <c r="Y60" s="176">
        <v>12</v>
      </c>
      <c r="Z60" s="217"/>
      <c r="AB60" s="175" t="str">
        <f>A60</f>
        <v>RB Leipzig</v>
      </c>
    </row>
    <row r="61" spans="1:28" ht="10.5" customHeight="1" x14ac:dyDescent="0.2">
      <c r="A61" s="177">
        <v>1</v>
      </c>
      <c r="B61" s="178" t="s">
        <v>602</v>
      </c>
      <c r="C61" s="178" t="s">
        <v>0</v>
      </c>
      <c r="D61" s="179" t="s">
        <v>59</v>
      </c>
      <c r="E61" s="179" t="s">
        <v>59</v>
      </c>
      <c r="F61" s="180" t="s">
        <v>59</v>
      </c>
      <c r="G61" s="180" t="s">
        <v>59</v>
      </c>
      <c r="H61" s="180"/>
      <c r="I61" s="179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AB61" s="175" t="str">
        <f t="shared" ref="AB61:AB72" si="19">B61</f>
        <v>Péter Gulácsi (A)</v>
      </c>
    </row>
    <row r="62" spans="1:28" ht="10.5" customHeight="1" x14ac:dyDescent="0.2">
      <c r="A62" s="177">
        <v>21</v>
      </c>
      <c r="B62" s="178" t="s">
        <v>338</v>
      </c>
      <c r="C62" s="178" t="s">
        <v>0</v>
      </c>
      <c r="D62" s="179" t="s">
        <v>59</v>
      </c>
      <c r="E62" s="179" t="s">
        <v>59</v>
      </c>
      <c r="F62" s="180" t="s">
        <v>59</v>
      </c>
      <c r="G62" s="180" t="s">
        <v>59</v>
      </c>
      <c r="H62" s="180"/>
      <c r="I62" s="179"/>
      <c r="J62" s="181"/>
      <c r="K62" s="182"/>
      <c r="L62" s="182"/>
      <c r="M62" s="182"/>
      <c r="N62" s="182"/>
      <c r="O62" s="182"/>
      <c r="P62" s="182"/>
      <c r="Q62" s="182"/>
      <c r="R62" s="182">
        <v>1</v>
      </c>
      <c r="S62" s="182"/>
      <c r="T62" s="182"/>
      <c r="U62" s="182"/>
      <c r="V62" s="182"/>
      <c r="W62" s="182"/>
      <c r="X62" s="182"/>
      <c r="Y62" s="182"/>
      <c r="AB62" s="175" t="str">
        <f t="shared" si="19"/>
        <v>Janis Blaswich</v>
      </c>
    </row>
    <row r="63" spans="1:28" ht="10.5" customHeight="1" x14ac:dyDescent="0.2">
      <c r="A63" s="177">
        <v>25</v>
      </c>
      <c r="B63" s="178" t="s">
        <v>434</v>
      </c>
      <c r="C63" s="178" t="s">
        <v>0</v>
      </c>
      <c r="D63" s="179" t="s">
        <v>59</v>
      </c>
      <c r="E63" s="179" t="s">
        <v>59</v>
      </c>
      <c r="F63" s="180" t="s">
        <v>59</v>
      </c>
      <c r="G63" s="180" t="s">
        <v>59</v>
      </c>
      <c r="H63" s="180"/>
      <c r="I63" s="179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9"/>
        <v>Leopold Zingerle</v>
      </c>
    </row>
    <row r="64" spans="1:28" ht="10.5" customHeight="1" x14ac:dyDescent="0.2">
      <c r="A64" s="177">
        <v>36</v>
      </c>
      <c r="B64" s="178" t="s">
        <v>339</v>
      </c>
      <c r="C64" s="178" t="s">
        <v>0</v>
      </c>
      <c r="D64" s="179" t="s">
        <v>59</v>
      </c>
      <c r="E64" s="179" t="s">
        <v>59</v>
      </c>
      <c r="F64" s="180" t="s">
        <v>59</v>
      </c>
      <c r="G64" s="180" t="s">
        <v>59</v>
      </c>
      <c r="H64" s="180"/>
      <c r="I64" s="179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:AB65" si="20">B64</f>
        <v>Timo Schlieck</v>
      </c>
    </row>
    <row r="65" spans="1:28" ht="10.5" customHeight="1" x14ac:dyDescent="0.2">
      <c r="A65" s="198">
        <v>2</v>
      </c>
      <c r="B65" s="199" t="s">
        <v>269</v>
      </c>
      <c r="C65" s="185" t="s">
        <v>1</v>
      </c>
      <c r="D65" s="186" t="s">
        <v>59</v>
      </c>
      <c r="E65" s="186" t="s">
        <v>59</v>
      </c>
      <c r="F65" s="187" t="s">
        <v>59</v>
      </c>
      <c r="G65" s="187" t="s">
        <v>59</v>
      </c>
      <c r="H65" s="187"/>
      <c r="I65" s="18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Mohamed Simakan (A)</v>
      </c>
    </row>
    <row r="66" spans="1:28" ht="10.5" customHeight="1" x14ac:dyDescent="0.2">
      <c r="A66" s="198">
        <v>3</v>
      </c>
      <c r="B66" s="199" t="s">
        <v>210</v>
      </c>
      <c r="C66" s="185" t="s">
        <v>1</v>
      </c>
      <c r="D66" s="186" t="s">
        <v>59</v>
      </c>
      <c r="E66" s="186" t="s">
        <v>59</v>
      </c>
      <c r="F66" s="187" t="s">
        <v>59</v>
      </c>
      <c r="G66" s="187" t="s">
        <v>59</v>
      </c>
      <c r="H66" s="187"/>
      <c r="I66" s="18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1">B66</f>
        <v>Christopher Lenz</v>
      </c>
    </row>
    <row r="67" spans="1:28" ht="10.5" customHeight="1" x14ac:dyDescent="0.2">
      <c r="A67" s="198">
        <v>4</v>
      </c>
      <c r="B67" s="199" t="s">
        <v>146</v>
      </c>
      <c r="C67" s="185" t="s">
        <v>1</v>
      </c>
      <c r="D67" s="186" t="s">
        <v>59</v>
      </c>
      <c r="E67" s="186" t="s">
        <v>59</v>
      </c>
      <c r="F67" s="187" t="s">
        <v>59</v>
      </c>
      <c r="G67" s="187" t="s">
        <v>59</v>
      </c>
      <c r="H67" s="187"/>
      <c r="I67" s="18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Willi Orban</v>
      </c>
    </row>
    <row r="68" spans="1:28" ht="10.5" customHeight="1" x14ac:dyDescent="0.2">
      <c r="A68" s="198">
        <v>5</v>
      </c>
      <c r="B68" s="199" t="s">
        <v>435</v>
      </c>
      <c r="C68" s="185" t="s">
        <v>1</v>
      </c>
      <c r="D68" s="186" t="s">
        <v>59</v>
      </c>
      <c r="E68" s="186" t="s">
        <v>59</v>
      </c>
      <c r="F68" s="187" t="s">
        <v>59</v>
      </c>
      <c r="G68" s="187" t="s">
        <v>59</v>
      </c>
      <c r="H68" s="187"/>
      <c r="I68" s="18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si="19"/>
        <v>El Chadaille Bitshiabu (A)</v>
      </c>
    </row>
    <row r="69" spans="1:28" ht="10.5" customHeight="1" x14ac:dyDescent="0.2">
      <c r="A69" s="198">
        <v>16</v>
      </c>
      <c r="B69" s="199" t="s">
        <v>150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>
        <v>3</v>
      </c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Lukas Klostermann</v>
      </c>
    </row>
    <row r="70" spans="1:28" ht="10.5" customHeight="1" x14ac:dyDescent="0.2">
      <c r="A70" s="198">
        <v>22</v>
      </c>
      <c r="B70" s="199" t="s">
        <v>289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>
        <v>3</v>
      </c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9"/>
        <v>David Raum</v>
      </c>
    </row>
    <row r="71" spans="1:28" ht="10.5" customHeight="1" x14ac:dyDescent="0.2">
      <c r="A71" s="198">
        <v>23</v>
      </c>
      <c r="B71" s="199" t="s">
        <v>575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" si="22">B71</f>
        <v>Castello Lukeba (A)</v>
      </c>
    </row>
    <row r="72" spans="1:28" ht="10.5" customHeight="1" x14ac:dyDescent="0.2">
      <c r="A72" s="198">
        <v>39</v>
      </c>
      <c r="B72" s="199" t="s">
        <v>233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>
        <v>2</v>
      </c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19"/>
        <v>Benjamin Henrichs</v>
      </c>
    </row>
    <row r="73" spans="1:28" ht="10.5" customHeight="1" x14ac:dyDescent="0.2">
      <c r="A73" s="200">
        <v>7</v>
      </c>
      <c r="B73" s="190" t="s">
        <v>220</v>
      </c>
      <c r="C73" s="190" t="s">
        <v>2</v>
      </c>
      <c r="D73" s="191" t="s">
        <v>59</v>
      </c>
      <c r="E73" s="191" t="s">
        <v>59</v>
      </c>
      <c r="F73" s="192" t="s">
        <v>59</v>
      </c>
      <c r="G73" s="192" t="s">
        <v>59</v>
      </c>
      <c r="H73" s="192"/>
      <c r="I73" s="191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ref="AB73:AB79" si="23">B73</f>
        <v>Dani Olmo (A)</v>
      </c>
    </row>
    <row r="74" spans="1:28" ht="10.5" customHeight="1" x14ac:dyDescent="0.2">
      <c r="A74" s="200">
        <v>8</v>
      </c>
      <c r="B74" s="190" t="s">
        <v>186</v>
      </c>
      <c r="C74" s="190" t="s">
        <v>2</v>
      </c>
      <c r="D74" s="191"/>
      <c r="E74" s="191"/>
      <c r="F74" s="192"/>
      <c r="G74" s="192"/>
      <c r="H74" s="192"/>
      <c r="I74" s="191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si="23"/>
        <v>Amadou Haidara (A)</v>
      </c>
    </row>
    <row r="75" spans="1:28" ht="10.5" customHeight="1" x14ac:dyDescent="0.2">
      <c r="A75" s="200">
        <v>10</v>
      </c>
      <c r="B75" s="190" t="s">
        <v>138</v>
      </c>
      <c r="C75" s="190" t="s">
        <v>2</v>
      </c>
      <c r="D75" s="191"/>
      <c r="E75" s="191"/>
      <c r="F75" s="192"/>
      <c r="G75" s="192"/>
      <c r="H75" s="192"/>
      <c r="I75" s="191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Emil Forsberg (A)</v>
      </c>
    </row>
    <row r="76" spans="1:28" ht="10.5" customHeight="1" x14ac:dyDescent="0.2">
      <c r="A76" s="200">
        <v>13</v>
      </c>
      <c r="B76" s="190" t="s">
        <v>436</v>
      </c>
      <c r="C76" s="190" t="s">
        <v>2</v>
      </c>
      <c r="D76" s="191"/>
      <c r="E76" s="191"/>
      <c r="F76" s="192"/>
      <c r="G76" s="192"/>
      <c r="H76" s="192"/>
      <c r="I76" s="191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Nicolas Seiwald (A)</v>
      </c>
    </row>
    <row r="77" spans="1:28" ht="10.5" customHeight="1" x14ac:dyDescent="0.2">
      <c r="A77" s="200">
        <v>14</v>
      </c>
      <c r="B77" s="190" t="s">
        <v>164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>
        <v>7</v>
      </c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Christoph Baumgartner (A)</v>
      </c>
    </row>
    <row r="78" spans="1:28" ht="10.5" customHeight="1" x14ac:dyDescent="0.2">
      <c r="A78" s="200">
        <v>18</v>
      </c>
      <c r="B78" s="190" t="s">
        <v>437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3"/>
        <v>Fabio Carvalho (A)</v>
      </c>
    </row>
    <row r="79" spans="1:28" ht="10.5" customHeight="1" x14ac:dyDescent="0.2">
      <c r="A79" s="200">
        <v>20</v>
      </c>
      <c r="B79" s="190" t="s">
        <v>438</v>
      </c>
      <c r="C79" s="190" t="s">
        <v>2</v>
      </c>
      <c r="D79" s="191" t="s">
        <v>59</v>
      </c>
      <c r="E79" s="191" t="s">
        <v>59</v>
      </c>
      <c r="F79" s="192" t="s">
        <v>59</v>
      </c>
      <c r="G79" s="192" t="s">
        <v>59</v>
      </c>
      <c r="H79" s="192"/>
      <c r="I79" s="191"/>
      <c r="J79" s="181"/>
      <c r="K79" s="182"/>
      <c r="L79" s="182"/>
      <c r="M79" s="182">
        <v>8</v>
      </c>
      <c r="N79" s="182">
        <v>6</v>
      </c>
      <c r="O79" s="182"/>
      <c r="P79" s="182"/>
      <c r="Q79" s="182"/>
      <c r="R79" s="182"/>
      <c r="S79" s="182">
        <v>7</v>
      </c>
      <c r="T79" s="182"/>
      <c r="U79" s="182"/>
      <c r="V79" s="182"/>
      <c r="W79" s="182"/>
      <c r="X79" s="182"/>
      <c r="Y79" s="182"/>
      <c r="AB79" s="175" t="str">
        <f t="shared" si="23"/>
        <v>Xavi Simons (A)</v>
      </c>
    </row>
    <row r="80" spans="1:28" ht="10.5" customHeight="1" x14ac:dyDescent="0.2">
      <c r="A80" s="200">
        <v>24</v>
      </c>
      <c r="B80" s="190" t="s">
        <v>191</v>
      </c>
      <c r="C80" s="190" t="s">
        <v>2</v>
      </c>
      <c r="D80" s="191" t="s">
        <v>59</v>
      </c>
      <c r="E80" s="191" t="s">
        <v>59</v>
      </c>
      <c r="F80" s="192" t="s">
        <v>59</v>
      </c>
      <c r="G80" s="192" t="s">
        <v>59</v>
      </c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4">B80</f>
        <v>Xaver Schlager (A)</v>
      </c>
    </row>
    <row r="81" spans="1:28" ht="10.5" customHeight="1" x14ac:dyDescent="0.2">
      <c r="A81" s="200">
        <v>26</v>
      </c>
      <c r="B81" s="190" t="s">
        <v>439</v>
      </c>
      <c r="C81" s="190" t="s">
        <v>2</v>
      </c>
      <c r="D81" s="191" t="s">
        <v>59</v>
      </c>
      <c r="E81" s="191" t="s">
        <v>59</v>
      </c>
      <c r="F81" s="192" t="s">
        <v>59</v>
      </c>
      <c r="G81" s="192" t="s">
        <v>59</v>
      </c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ref="AB81" si="25">B81</f>
        <v>Ilaix Moriba (A)</v>
      </c>
    </row>
    <row r="82" spans="1:28" ht="10.5" customHeight="1" x14ac:dyDescent="0.2">
      <c r="A82" s="200">
        <v>44</v>
      </c>
      <c r="B82" s="190" t="s">
        <v>126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>
        <v>7</v>
      </c>
      <c r="O82" s="182">
        <v>5</v>
      </c>
      <c r="P82" s="182"/>
      <c r="Q82" s="182">
        <v>5</v>
      </c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6">B82</f>
        <v>Kevin Kampl (A)</v>
      </c>
    </row>
    <row r="83" spans="1:28" ht="10.5" customHeight="1" x14ac:dyDescent="0.2">
      <c r="A83" s="201">
        <v>9</v>
      </c>
      <c r="B83" s="195" t="s">
        <v>137</v>
      </c>
      <c r="C83" s="195" t="s">
        <v>3</v>
      </c>
      <c r="D83" s="196" t="s">
        <v>59</v>
      </c>
      <c r="E83" s="196" t="s">
        <v>59</v>
      </c>
      <c r="F83" s="197" t="s">
        <v>59</v>
      </c>
      <c r="G83" s="197" t="s">
        <v>59</v>
      </c>
      <c r="H83" s="197"/>
      <c r="I83" s="19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>B83</f>
        <v>Yussuf Poulsen (A)</v>
      </c>
    </row>
    <row r="84" spans="1:28" ht="10.5" customHeight="1" x14ac:dyDescent="0.2">
      <c r="A84" s="201">
        <v>11</v>
      </c>
      <c r="B84" s="195" t="s">
        <v>388</v>
      </c>
      <c r="C84" s="195" t="s">
        <v>3</v>
      </c>
      <c r="D84" s="196" t="s">
        <v>59</v>
      </c>
      <c r="E84" s="196" t="s">
        <v>59</v>
      </c>
      <c r="F84" s="197" t="s">
        <v>59</v>
      </c>
      <c r="G84" s="197" t="s">
        <v>59</v>
      </c>
      <c r="H84" s="197"/>
      <c r="I84" s="196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6" si="27">B84</f>
        <v>Timo Werner</v>
      </c>
    </row>
    <row r="85" spans="1:28" ht="10.5" customHeight="1" x14ac:dyDescent="0.2">
      <c r="A85" s="201">
        <v>17</v>
      </c>
      <c r="B85" s="195" t="s">
        <v>601</v>
      </c>
      <c r="C85" s="195" t="s">
        <v>3</v>
      </c>
      <c r="D85" s="196" t="s">
        <v>59</v>
      </c>
      <c r="E85" s="196" t="s">
        <v>59</v>
      </c>
      <c r="F85" s="197" t="s">
        <v>59</v>
      </c>
      <c r="G85" s="197" t="s">
        <v>59</v>
      </c>
      <c r="H85" s="197"/>
      <c r="I85" s="196"/>
      <c r="J85" s="181"/>
      <c r="K85" s="182">
        <v>11</v>
      </c>
      <c r="L85" s="182">
        <v>10</v>
      </c>
      <c r="M85" s="182"/>
      <c r="N85" s="182"/>
      <c r="O85" s="182">
        <v>10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Loїs Openda (A)</v>
      </c>
    </row>
    <row r="86" spans="1:28" ht="10.5" customHeight="1" x14ac:dyDescent="0.2">
      <c r="A86" s="201">
        <v>30</v>
      </c>
      <c r="B86" s="195" t="s">
        <v>603</v>
      </c>
      <c r="C86" s="195" t="s">
        <v>3</v>
      </c>
      <c r="D86" s="196" t="s">
        <v>59</v>
      </c>
      <c r="E86" s="196" t="s">
        <v>59</v>
      </c>
      <c r="F86" s="197" t="s">
        <v>59</v>
      </c>
      <c r="G86" s="197" t="s">
        <v>59</v>
      </c>
      <c r="H86" s="197"/>
      <c r="I86" s="196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Benjamin Šeško (A)</v>
      </c>
    </row>
    <row r="87" spans="1:28" ht="15" customHeight="1" thickBot="1" x14ac:dyDescent="0.25">
      <c r="A87" s="219" t="s">
        <v>179</v>
      </c>
      <c r="B87" s="219"/>
      <c r="C87" s="219"/>
      <c r="D87" s="219"/>
      <c r="E87" s="219"/>
      <c r="F87" s="219"/>
      <c r="G87" s="219"/>
      <c r="H87" s="219"/>
      <c r="I87" s="219"/>
      <c r="J87" s="10"/>
      <c r="K87" s="176">
        <v>12</v>
      </c>
      <c r="L87" s="176">
        <v>12</v>
      </c>
      <c r="M87" s="176">
        <v>12</v>
      </c>
      <c r="N87" s="176">
        <v>12</v>
      </c>
      <c r="O87" s="176">
        <v>12</v>
      </c>
      <c r="P87" s="176">
        <v>12</v>
      </c>
      <c r="Q87" s="176">
        <v>12</v>
      </c>
      <c r="R87" s="176">
        <v>12</v>
      </c>
      <c r="S87" s="176">
        <v>12</v>
      </c>
      <c r="T87" s="176">
        <v>12</v>
      </c>
      <c r="U87" s="176">
        <v>12</v>
      </c>
      <c r="V87" s="176">
        <v>12</v>
      </c>
      <c r="W87" s="176">
        <v>12</v>
      </c>
      <c r="X87" s="176">
        <v>12</v>
      </c>
      <c r="Y87" s="176">
        <v>12</v>
      </c>
      <c r="Z87" s="217"/>
      <c r="AB87" s="175" t="str">
        <f>A87</f>
        <v>1.FC Union Berlin</v>
      </c>
    </row>
    <row r="88" spans="1:28" ht="10.5" customHeight="1" x14ac:dyDescent="0.2">
      <c r="A88" s="177">
        <v>1</v>
      </c>
      <c r="B88" s="178" t="s">
        <v>604</v>
      </c>
      <c r="C88" s="178" t="s">
        <v>0</v>
      </c>
      <c r="D88" s="179" t="s">
        <v>59</v>
      </c>
      <c r="E88" s="179" t="s">
        <v>59</v>
      </c>
      <c r="F88" s="180" t="s">
        <v>59</v>
      </c>
      <c r="G88" s="180" t="s">
        <v>59</v>
      </c>
      <c r="H88" s="180"/>
      <c r="I88" s="179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>B88</f>
        <v>Frederik Rønnow (A)</v>
      </c>
    </row>
    <row r="89" spans="1:28" ht="10.5" customHeight="1" x14ac:dyDescent="0.2">
      <c r="A89" s="177">
        <v>12</v>
      </c>
      <c r="B89" s="178" t="s">
        <v>208</v>
      </c>
      <c r="C89" s="178" t="s">
        <v>0</v>
      </c>
      <c r="D89" s="179" t="s">
        <v>59</v>
      </c>
      <c r="E89" s="179" t="s">
        <v>59</v>
      </c>
      <c r="F89" s="180" t="s">
        <v>59</v>
      </c>
      <c r="G89" s="180" t="s">
        <v>59</v>
      </c>
      <c r="H89" s="180"/>
      <c r="I89" s="179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:AB91" si="28">B89</f>
        <v>Jakob Busk (A)</v>
      </c>
    </row>
    <row r="90" spans="1:28" ht="10.5" customHeight="1" x14ac:dyDescent="0.2">
      <c r="A90" s="177">
        <v>37</v>
      </c>
      <c r="B90" s="178" t="s">
        <v>155</v>
      </c>
      <c r="C90" s="178" t="s">
        <v>0</v>
      </c>
      <c r="D90" s="179" t="s">
        <v>59</v>
      </c>
      <c r="E90" s="179" t="s">
        <v>59</v>
      </c>
      <c r="F90" s="180" t="s">
        <v>59</v>
      </c>
      <c r="G90" s="180" t="s">
        <v>59</v>
      </c>
      <c r="H90" s="180"/>
      <c r="I90" s="179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" si="29">B90</f>
        <v>Alexander Schwolow</v>
      </c>
    </row>
    <row r="91" spans="1:28" ht="10.5" customHeight="1" x14ac:dyDescent="0.2">
      <c r="A91" s="177">
        <v>39</v>
      </c>
      <c r="B91" s="178" t="s">
        <v>440</v>
      </c>
      <c r="C91" s="178" t="s">
        <v>0</v>
      </c>
      <c r="D91" s="179" t="s">
        <v>59</v>
      </c>
      <c r="E91" s="179" t="s">
        <v>59</v>
      </c>
      <c r="F91" s="180" t="s">
        <v>59</v>
      </c>
      <c r="G91" s="180" t="s">
        <v>59</v>
      </c>
      <c r="H91" s="180"/>
      <c r="I91" s="179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8"/>
        <v>Yannic Stein</v>
      </c>
    </row>
    <row r="92" spans="1:28" ht="10.5" customHeight="1" x14ac:dyDescent="0.2">
      <c r="A92" s="198">
        <v>3</v>
      </c>
      <c r="B92" s="199" t="s">
        <v>280</v>
      </c>
      <c r="C92" s="185" t="s">
        <v>1</v>
      </c>
      <c r="D92" s="186" t="s">
        <v>59</v>
      </c>
      <c r="E92" s="186" t="s">
        <v>59</v>
      </c>
      <c r="F92" s="187" t="s">
        <v>59</v>
      </c>
      <c r="G92" s="187" t="s">
        <v>59</v>
      </c>
      <c r="H92" s="187"/>
      <c r="I92" s="18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30">B92</f>
        <v>Paul Jaeckel</v>
      </c>
    </row>
    <row r="93" spans="1:28" ht="10.5" customHeight="1" x14ac:dyDescent="0.2">
      <c r="A93" s="198">
        <v>4</v>
      </c>
      <c r="B93" s="199" t="s">
        <v>341</v>
      </c>
      <c r="C93" s="185" t="s">
        <v>1</v>
      </c>
      <c r="D93" s="186" t="s">
        <v>59</v>
      </c>
      <c r="E93" s="186" t="s">
        <v>59</v>
      </c>
      <c r="F93" s="187" t="s">
        <v>59</v>
      </c>
      <c r="G93" s="187" t="s">
        <v>59</v>
      </c>
      <c r="H93" s="187"/>
      <c r="I93" s="18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 t="shared" ref="AB93:AB99" si="31">B93</f>
        <v>Diogo Leite (A)</v>
      </c>
    </row>
    <row r="94" spans="1:28" ht="10.5" customHeight="1" x14ac:dyDescent="0.2">
      <c r="A94" s="198">
        <v>5</v>
      </c>
      <c r="B94" s="199" t="s">
        <v>340</v>
      </c>
      <c r="C94" s="185" t="s">
        <v>1</v>
      </c>
      <c r="D94" s="186" t="s">
        <v>59</v>
      </c>
      <c r="E94" s="186" t="s">
        <v>59</v>
      </c>
      <c r="F94" s="187" t="s">
        <v>59</v>
      </c>
      <c r="G94" s="187" t="s">
        <v>59</v>
      </c>
      <c r="H94" s="187"/>
      <c r="I94" s="186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si="31"/>
        <v>Danilho Doekhi (A)</v>
      </c>
    </row>
    <row r="95" spans="1:28" ht="10.5" customHeight="1" x14ac:dyDescent="0.2">
      <c r="A95" s="198">
        <v>6</v>
      </c>
      <c r="B95" s="199" t="s">
        <v>590</v>
      </c>
      <c r="C95" s="185" t="s">
        <v>1</v>
      </c>
      <c r="D95" s="186" t="s">
        <v>59</v>
      </c>
      <c r="E95" s="186" t="s">
        <v>59</v>
      </c>
      <c r="F95" s="187" t="s">
        <v>59</v>
      </c>
      <c r="G95" s="187" t="s">
        <v>59</v>
      </c>
      <c r="H95" s="187"/>
      <c r="I95" s="18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2">B95</f>
        <v>Robin Gosens</v>
      </c>
    </row>
    <row r="96" spans="1:28" ht="10.5" customHeight="1" x14ac:dyDescent="0.2">
      <c r="A96" s="198">
        <v>18</v>
      </c>
      <c r="B96" s="199" t="s">
        <v>419</v>
      </c>
      <c r="C96" s="185" t="s">
        <v>1</v>
      </c>
      <c r="D96" s="186" t="s">
        <v>59</v>
      </c>
      <c r="E96" s="186" t="s">
        <v>59</v>
      </c>
      <c r="F96" s="187" t="s">
        <v>59</v>
      </c>
      <c r="G96" s="187" t="s">
        <v>59</v>
      </c>
      <c r="H96" s="187"/>
      <c r="I96" s="18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31"/>
        <v>Josip Juranovic (A)</v>
      </c>
    </row>
    <row r="97" spans="1:28" ht="10.5" customHeight="1" x14ac:dyDescent="0.2">
      <c r="A97" s="198">
        <v>23</v>
      </c>
      <c r="B97" s="199" t="s">
        <v>642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3">B97</f>
        <v>Leonardo Bonucci (A)</v>
      </c>
    </row>
    <row r="98" spans="1:28" ht="10.5" customHeight="1" x14ac:dyDescent="0.2">
      <c r="A98" s="198">
        <v>26</v>
      </c>
      <c r="B98" s="199" t="s">
        <v>175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si="31"/>
        <v>Jerome Roussillon (A)</v>
      </c>
    </row>
    <row r="99" spans="1:28" ht="10.5" customHeight="1" x14ac:dyDescent="0.2">
      <c r="A99" s="198">
        <v>28</v>
      </c>
      <c r="B99" s="199" t="s">
        <v>211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Christopher Trimmel (A)</v>
      </c>
    </row>
    <row r="100" spans="1:28" ht="10.5" customHeight="1" x14ac:dyDescent="0.2">
      <c r="A100" s="198">
        <v>31</v>
      </c>
      <c r="B100" s="199" t="s">
        <v>99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4">B100</f>
        <v>Robin Knoche</v>
      </c>
    </row>
    <row r="101" spans="1:28" ht="10.5" customHeight="1" x14ac:dyDescent="0.2">
      <c r="A101" s="200">
        <v>7</v>
      </c>
      <c r="B101" s="190" t="s">
        <v>441</v>
      </c>
      <c r="C101" s="190" t="s">
        <v>2</v>
      </c>
      <c r="D101" s="205" t="s">
        <v>59</v>
      </c>
      <c r="E101" s="205" t="s">
        <v>59</v>
      </c>
      <c r="F101" s="206" t="s">
        <v>59</v>
      </c>
      <c r="G101" s="206" t="s">
        <v>59</v>
      </c>
      <c r="H101" s="206"/>
      <c r="I101" s="205"/>
      <c r="J101" s="207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Brendon Aaronson (A)</v>
      </c>
    </row>
    <row r="102" spans="1:28" ht="10.5" customHeight="1" x14ac:dyDescent="0.2">
      <c r="A102" s="200">
        <v>8</v>
      </c>
      <c r="B102" s="190" t="s">
        <v>141</v>
      </c>
      <c r="C102" s="190" t="s">
        <v>2</v>
      </c>
      <c r="D102" s="205" t="s">
        <v>59</v>
      </c>
      <c r="E102" s="205" t="s">
        <v>59</v>
      </c>
      <c r="F102" s="206" t="s">
        <v>59</v>
      </c>
      <c r="G102" s="206" t="s">
        <v>59</v>
      </c>
      <c r="H102" s="206"/>
      <c r="I102" s="205"/>
      <c r="J102" s="207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:AB106" si="36">B102</f>
        <v>Rani Khedira</v>
      </c>
    </row>
    <row r="103" spans="1:28" ht="10.5" customHeight="1" x14ac:dyDescent="0.2">
      <c r="A103" s="200">
        <v>13</v>
      </c>
      <c r="B103" s="190" t="s">
        <v>605</v>
      </c>
      <c r="C103" s="190" t="s">
        <v>2</v>
      </c>
      <c r="D103" s="205" t="s">
        <v>59</v>
      </c>
      <c r="E103" s="205" t="s">
        <v>59</v>
      </c>
      <c r="F103" s="206" t="s">
        <v>59</v>
      </c>
      <c r="G103" s="206" t="s">
        <v>59</v>
      </c>
      <c r="H103" s="206"/>
      <c r="I103" s="205"/>
      <c r="J103" s="207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6"/>
        <v>András Schäfer (A)</v>
      </c>
    </row>
    <row r="104" spans="1:28" ht="10.5" customHeight="1" x14ac:dyDescent="0.2">
      <c r="A104" s="200">
        <v>19</v>
      </c>
      <c r="B104" s="190" t="s">
        <v>143</v>
      </c>
      <c r="C104" s="190" t="s">
        <v>2</v>
      </c>
      <c r="D104" s="205" t="s">
        <v>59</v>
      </c>
      <c r="E104" s="205" t="s">
        <v>59</v>
      </c>
      <c r="F104" s="206" t="s">
        <v>59</v>
      </c>
      <c r="G104" s="206" t="s">
        <v>59</v>
      </c>
      <c r="H104" s="206"/>
      <c r="I104" s="205"/>
      <c r="J104" s="207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6"/>
        <v>Janik Haberer</v>
      </c>
    </row>
    <row r="105" spans="1:28" ht="10.5" customHeight="1" x14ac:dyDescent="0.2">
      <c r="A105" s="200">
        <v>20</v>
      </c>
      <c r="B105" s="190" t="s">
        <v>410</v>
      </c>
      <c r="C105" s="190" t="s">
        <v>2</v>
      </c>
      <c r="D105" s="205" t="s">
        <v>59</v>
      </c>
      <c r="E105" s="205" t="s">
        <v>59</v>
      </c>
      <c r="F105" s="206" t="s">
        <v>59</v>
      </c>
      <c r="G105" s="206" t="s">
        <v>59</v>
      </c>
      <c r="H105" s="206"/>
      <c r="I105" s="205"/>
      <c r="J105" s="207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6"/>
        <v>Aissa Laidouni (A)</v>
      </c>
    </row>
    <row r="106" spans="1:28" ht="10.5" customHeight="1" x14ac:dyDescent="0.2">
      <c r="A106" s="200">
        <v>29</v>
      </c>
      <c r="B106" s="190" t="s">
        <v>240</v>
      </c>
      <c r="C106" s="190" t="s">
        <v>2</v>
      </c>
      <c r="D106" s="205" t="s">
        <v>59</v>
      </c>
      <c r="E106" s="205" t="s">
        <v>59</v>
      </c>
      <c r="F106" s="206" t="s">
        <v>59</v>
      </c>
      <c r="G106" s="206" t="s">
        <v>59</v>
      </c>
      <c r="H106" s="206"/>
      <c r="I106" s="205"/>
      <c r="J106" s="207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6"/>
        <v>Lucas Tousart (A)</v>
      </c>
    </row>
    <row r="107" spans="1:28" ht="10.5" customHeight="1" x14ac:dyDescent="0.2">
      <c r="A107" s="200">
        <v>33</v>
      </c>
      <c r="B107" s="190" t="s">
        <v>606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:AB109" si="37">B107</f>
        <v>Alex Král (A)</v>
      </c>
    </row>
    <row r="108" spans="1:28" ht="10.5" customHeight="1" x14ac:dyDescent="0.2">
      <c r="A108" s="200">
        <v>36</v>
      </c>
      <c r="B108" s="190" t="s">
        <v>398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si="37"/>
        <v>Aljoscha Kemlein</v>
      </c>
    </row>
    <row r="109" spans="1:28" ht="10.5" customHeight="1" x14ac:dyDescent="0.2">
      <c r="A109" s="200">
        <v>38</v>
      </c>
      <c r="B109" s="190" t="s">
        <v>442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7"/>
        <v>Laurenz Dehl</v>
      </c>
    </row>
    <row r="110" spans="1:28" ht="10.5" customHeight="1" x14ac:dyDescent="0.2">
      <c r="A110" s="201">
        <v>9</v>
      </c>
      <c r="B110" s="195" t="s">
        <v>443</v>
      </c>
      <c r="C110" s="195" t="s">
        <v>3</v>
      </c>
      <c r="D110" s="196" t="s">
        <v>59</v>
      </c>
      <c r="E110" s="196" t="s">
        <v>59</v>
      </c>
      <c r="F110" s="196" t="s">
        <v>59</v>
      </c>
      <c r="G110" s="196" t="s">
        <v>59</v>
      </c>
      <c r="H110" s="197"/>
      <c r="I110" s="19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ref="AB110:AB111" si="38">B110</f>
        <v>Mikkel Kaufmann (A)</v>
      </c>
    </row>
    <row r="111" spans="1:28" ht="10.5" customHeight="1" x14ac:dyDescent="0.2">
      <c r="A111" s="201">
        <v>10</v>
      </c>
      <c r="B111" s="195" t="s">
        <v>592</v>
      </c>
      <c r="C111" s="195" t="s">
        <v>3</v>
      </c>
      <c r="D111" s="196" t="s">
        <v>59</v>
      </c>
      <c r="E111" s="196" t="s">
        <v>59</v>
      </c>
      <c r="F111" s="196" t="s">
        <v>59</v>
      </c>
      <c r="G111" s="196" t="s">
        <v>59</v>
      </c>
      <c r="H111" s="197"/>
      <c r="I111" s="19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8"/>
        <v>Kevin Volland</v>
      </c>
    </row>
    <row r="112" spans="1:28" ht="10.5" customHeight="1" x14ac:dyDescent="0.2">
      <c r="A112" s="201">
        <v>11</v>
      </c>
      <c r="B112" s="195" t="s">
        <v>444</v>
      </c>
      <c r="C112" s="195" t="s">
        <v>3</v>
      </c>
      <c r="D112" s="196" t="s">
        <v>59</v>
      </c>
      <c r="E112" s="196" t="s">
        <v>59</v>
      </c>
      <c r="F112" s="196" t="s">
        <v>59</v>
      </c>
      <c r="G112" s="196" t="s">
        <v>59</v>
      </c>
      <c r="H112" s="197"/>
      <c r="I112" s="196"/>
      <c r="J112" s="181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:AB115" si="39">B112</f>
        <v>David Datro Fofana (A)</v>
      </c>
    </row>
    <row r="113" spans="1:28" ht="10.5" customHeight="1" x14ac:dyDescent="0.2">
      <c r="A113" s="201">
        <v>16</v>
      </c>
      <c r="B113" s="195" t="s">
        <v>445</v>
      </c>
      <c r="C113" s="195" t="s">
        <v>3</v>
      </c>
      <c r="D113" s="196" t="s">
        <v>59</v>
      </c>
      <c r="E113" s="196" t="s">
        <v>59</v>
      </c>
      <c r="F113" s="196" t="s">
        <v>59</v>
      </c>
      <c r="G113" s="196" t="s">
        <v>59</v>
      </c>
      <c r="H113" s="197"/>
      <c r="I113" s="196"/>
      <c r="J113" s="181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Benedict Hollerbach</v>
      </c>
    </row>
    <row r="114" spans="1:28" ht="10.5" customHeight="1" x14ac:dyDescent="0.2">
      <c r="A114" s="201">
        <v>17</v>
      </c>
      <c r="B114" s="195" t="s">
        <v>278</v>
      </c>
      <c r="C114" s="195" t="s">
        <v>3</v>
      </c>
      <c r="D114" s="196" t="s">
        <v>59</v>
      </c>
      <c r="E114" s="196" t="s">
        <v>59</v>
      </c>
      <c r="F114" s="196" t="s">
        <v>59</v>
      </c>
      <c r="G114" s="196" t="s">
        <v>59</v>
      </c>
      <c r="H114" s="197"/>
      <c r="I114" s="196"/>
      <c r="J114" s="181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9"/>
        <v>Kevin Behrens</v>
      </c>
    </row>
    <row r="115" spans="1:28" ht="10.5" customHeight="1" x14ac:dyDescent="0.2">
      <c r="A115" s="201">
        <v>27</v>
      </c>
      <c r="B115" s="195" t="s">
        <v>215</v>
      </c>
      <c r="C115" s="195" t="s">
        <v>3</v>
      </c>
      <c r="D115" s="196" t="s">
        <v>59</v>
      </c>
      <c r="E115" s="196" t="s">
        <v>59</v>
      </c>
      <c r="F115" s="196" t="s">
        <v>59</v>
      </c>
      <c r="G115" s="196" t="s">
        <v>59</v>
      </c>
      <c r="H115" s="197"/>
      <c r="I115" s="196"/>
      <c r="J115" s="181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9"/>
        <v>Sheraldo Becker (A)</v>
      </c>
    </row>
    <row r="116" spans="1:28" ht="15" customHeight="1" thickBot="1" x14ac:dyDescent="0.25">
      <c r="A116" s="219" t="s">
        <v>129</v>
      </c>
      <c r="B116" s="219"/>
      <c r="C116" s="219"/>
      <c r="D116" s="219"/>
      <c r="E116" s="219"/>
      <c r="F116" s="219"/>
      <c r="G116" s="219"/>
      <c r="H116" s="219"/>
      <c r="I116" s="219"/>
      <c r="J116" s="10"/>
      <c r="K116" s="176">
        <v>12</v>
      </c>
      <c r="L116" s="176">
        <v>12</v>
      </c>
      <c r="M116" s="176">
        <v>12</v>
      </c>
      <c r="N116" s="176">
        <v>12</v>
      </c>
      <c r="O116" s="176">
        <v>12</v>
      </c>
      <c r="P116" s="176">
        <v>12</v>
      </c>
      <c r="Q116" s="176">
        <v>12</v>
      </c>
      <c r="R116" s="176">
        <v>12</v>
      </c>
      <c r="S116" s="176">
        <v>12</v>
      </c>
      <c r="T116" s="176">
        <v>12</v>
      </c>
      <c r="U116" s="176">
        <v>12</v>
      </c>
      <c r="V116" s="176">
        <v>12</v>
      </c>
      <c r="W116" s="176">
        <v>12</v>
      </c>
      <c r="X116" s="176">
        <v>12</v>
      </c>
      <c r="Y116" s="176">
        <v>12</v>
      </c>
      <c r="Z116" s="217"/>
      <c r="AB116" s="175" t="str">
        <f>A116</f>
        <v>SC Freiburg</v>
      </c>
    </row>
    <row r="117" spans="1:28" ht="10.5" customHeight="1" x14ac:dyDescent="0.2">
      <c r="A117" s="177">
        <v>1</v>
      </c>
      <c r="B117" s="178" t="s">
        <v>285</v>
      </c>
      <c r="C117" s="178" t="s">
        <v>0</v>
      </c>
      <c r="D117" s="179" t="s">
        <v>59</v>
      </c>
      <c r="E117" s="179" t="s">
        <v>59</v>
      </c>
      <c r="F117" s="180" t="s">
        <v>59</v>
      </c>
      <c r="G117" s="180" t="s">
        <v>59</v>
      </c>
      <c r="H117" s="180"/>
      <c r="I117" s="179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ref="AB117:AB140" si="40">B117</f>
        <v>Noah Atubolu</v>
      </c>
    </row>
    <row r="118" spans="1:28" ht="10.5" customHeight="1" x14ac:dyDescent="0.2">
      <c r="A118" s="177">
        <v>21</v>
      </c>
      <c r="B118" s="178" t="s">
        <v>154</v>
      </c>
      <c r="C118" s="178" t="s">
        <v>0</v>
      </c>
      <c r="D118" s="179" t="s">
        <v>59</v>
      </c>
      <c r="E118" s="179" t="s">
        <v>59</v>
      </c>
      <c r="F118" s="180" t="s">
        <v>59</v>
      </c>
      <c r="G118" s="180" t="s">
        <v>59</v>
      </c>
      <c r="H118" s="180"/>
      <c r="I118" s="179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19" si="41">B118</f>
        <v>Florian Müller</v>
      </c>
    </row>
    <row r="119" spans="1:28" ht="10.5" customHeight="1" x14ac:dyDescent="0.2">
      <c r="A119" s="177">
        <v>31</v>
      </c>
      <c r="B119" s="178" t="s">
        <v>237</v>
      </c>
      <c r="C119" s="178" t="s">
        <v>0</v>
      </c>
      <c r="D119" s="179" t="s">
        <v>59</v>
      </c>
      <c r="E119" s="179" t="s">
        <v>59</v>
      </c>
      <c r="F119" s="180" t="s">
        <v>59</v>
      </c>
      <c r="G119" s="180" t="s">
        <v>59</v>
      </c>
      <c r="H119" s="180"/>
      <c r="I119" s="179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1"/>
        <v>Benjamin Uphoff</v>
      </c>
    </row>
    <row r="120" spans="1:28" ht="10.5" customHeight="1" x14ac:dyDescent="0.2">
      <c r="A120" s="204">
        <v>3</v>
      </c>
      <c r="B120" s="185" t="s">
        <v>162</v>
      </c>
      <c r="C120" s="185" t="s">
        <v>1</v>
      </c>
      <c r="D120" s="186" t="s">
        <v>59</v>
      </c>
      <c r="E120" s="186" t="s">
        <v>59</v>
      </c>
      <c r="F120" s="187" t="s">
        <v>59</v>
      </c>
      <c r="G120" s="187" t="s">
        <v>59</v>
      </c>
      <c r="H120" s="187"/>
      <c r="I120" s="18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>B120</f>
        <v>Philipp Lienhart (A)</v>
      </c>
    </row>
    <row r="121" spans="1:28" ht="10.5" customHeight="1" x14ac:dyDescent="0.2">
      <c r="A121" s="204">
        <v>4</v>
      </c>
      <c r="B121" s="185" t="s">
        <v>402</v>
      </c>
      <c r="C121" s="185" t="s">
        <v>1</v>
      </c>
      <c r="D121" s="186" t="s">
        <v>59</v>
      </c>
      <c r="E121" s="186" t="s">
        <v>59</v>
      </c>
      <c r="F121" s="187" t="s">
        <v>59</v>
      </c>
      <c r="G121" s="187" t="s">
        <v>59</v>
      </c>
      <c r="H121" s="187"/>
      <c r="I121" s="18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:AB125" si="42">B121</f>
        <v>Kenneth Schmidt</v>
      </c>
    </row>
    <row r="122" spans="1:28" ht="10.5" customHeight="1" x14ac:dyDescent="0.2">
      <c r="A122" s="204">
        <v>5</v>
      </c>
      <c r="B122" s="185" t="s">
        <v>153</v>
      </c>
      <c r="C122" s="185" t="s">
        <v>1</v>
      </c>
      <c r="D122" s="186" t="s">
        <v>59</v>
      </c>
      <c r="E122" s="186" t="s">
        <v>59</v>
      </c>
      <c r="F122" s="187" t="s">
        <v>59</v>
      </c>
      <c r="G122" s="187" t="s">
        <v>59</v>
      </c>
      <c r="H122" s="187"/>
      <c r="I122" s="18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4" si="43">B122</f>
        <v>Manuel Gulde</v>
      </c>
    </row>
    <row r="123" spans="1:28" ht="10.5" customHeight="1" x14ac:dyDescent="0.2">
      <c r="A123" s="204">
        <v>17</v>
      </c>
      <c r="B123" s="185" t="s">
        <v>147</v>
      </c>
      <c r="C123" s="185" t="s">
        <v>1</v>
      </c>
      <c r="D123" s="186" t="s">
        <v>59</v>
      </c>
      <c r="E123" s="186" t="s">
        <v>59</v>
      </c>
      <c r="F123" s="187" t="s">
        <v>59</v>
      </c>
      <c r="G123" s="187" t="s">
        <v>59</v>
      </c>
      <c r="H123" s="187"/>
      <c r="I123" s="18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3"/>
        <v>Lukas Kübler</v>
      </c>
    </row>
    <row r="124" spans="1:28" ht="10.5" customHeight="1" x14ac:dyDescent="0.2">
      <c r="A124" s="204">
        <v>25</v>
      </c>
      <c r="B124" s="185" t="s">
        <v>264</v>
      </c>
      <c r="C124" s="185" t="s">
        <v>1</v>
      </c>
      <c r="D124" s="186" t="s">
        <v>59</v>
      </c>
      <c r="E124" s="186" t="s">
        <v>59</v>
      </c>
      <c r="F124" s="187" t="s">
        <v>59</v>
      </c>
      <c r="G124" s="187" t="s">
        <v>59</v>
      </c>
      <c r="H124" s="187"/>
      <c r="I124" s="18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43"/>
        <v>Kiliann Sildillia (A)</v>
      </c>
    </row>
    <row r="125" spans="1:28" ht="10.5" customHeight="1" x14ac:dyDescent="0.2">
      <c r="A125" s="204">
        <v>28</v>
      </c>
      <c r="B125" s="185" t="s">
        <v>109</v>
      </c>
      <c r="C125" s="185" t="s">
        <v>1</v>
      </c>
      <c r="D125" s="186" t="s">
        <v>59</v>
      </c>
      <c r="E125" s="186" t="s">
        <v>59</v>
      </c>
      <c r="F125" s="187" t="s">
        <v>59</v>
      </c>
      <c r="G125" s="187" t="s">
        <v>59</v>
      </c>
      <c r="H125" s="187"/>
      <c r="I125" s="186"/>
      <c r="J125" s="181"/>
      <c r="K125" s="182"/>
      <c r="L125" s="182">
        <v>4</v>
      </c>
      <c r="M125" s="182"/>
      <c r="N125" s="182"/>
      <c r="O125" s="182"/>
      <c r="P125" s="182"/>
      <c r="Q125" s="182"/>
      <c r="R125" s="182">
        <v>2</v>
      </c>
      <c r="S125" s="182"/>
      <c r="T125" s="182"/>
      <c r="U125" s="182"/>
      <c r="V125" s="182"/>
      <c r="W125" s="182"/>
      <c r="X125" s="182"/>
      <c r="Y125" s="182"/>
      <c r="AB125" s="175" t="str">
        <f t="shared" si="42"/>
        <v>Matthias Ginter</v>
      </c>
    </row>
    <row r="126" spans="1:28" ht="10.5" customHeight="1" x14ac:dyDescent="0.2">
      <c r="A126" s="204">
        <v>30</v>
      </c>
      <c r="B126" s="185" t="s">
        <v>152</v>
      </c>
      <c r="C126" s="185" t="s">
        <v>1</v>
      </c>
      <c r="D126" s="186" t="s">
        <v>59</v>
      </c>
      <c r="E126" s="186" t="s">
        <v>59</v>
      </c>
      <c r="F126" s="187" t="s">
        <v>59</v>
      </c>
      <c r="G126" s="187" t="s">
        <v>59</v>
      </c>
      <c r="H126" s="187"/>
      <c r="I126" s="186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7" si="44">B126</f>
        <v>Christian Günter</v>
      </c>
    </row>
    <row r="127" spans="1:28" ht="10.5" customHeight="1" x14ac:dyDescent="0.2">
      <c r="A127" s="204">
        <v>33</v>
      </c>
      <c r="B127" s="185" t="s">
        <v>446</v>
      </c>
      <c r="C127" s="185" t="s">
        <v>1</v>
      </c>
      <c r="D127" s="186" t="s">
        <v>59</v>
      </c>
      <c r="E127" s="186" t="s">
        <v>59</v>
      </c>
      <c r="F127" s="187" t="s">
        <v>59</v>
      </c>
      <c r="G127" s="187" t="s">
        <v>59</v>
      </c>
      <c r="H127" s="187"/>
      <c r="I127" s="186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Jordy Makengo (A)</v>
      </c>
    </row>
    <row r="128" spans="1:28" ht="10.5" customHeight="1" x14ac:dyDescent="0.2">
      <c r="A128" s="204">
        <v>37</v>
      </c>
      <c r="B128" s="185" t="s">
        <v>447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Max Rosenfelder</v>
      </c>
    </row>
    <row r="129" spans="1:28" ht="10.5" customHeight="1" x14ac:dyDescent="0.2">
      <c r="A129" s="200">
        <v>7</v>
      </c>
      <c r="B129" s="190" t="s">
        <v>286</v>
      </c>
      <c r="C129" s="190" t="s">
        <v>2</v>
      </c>
      <c r="D129" s="191" t="s">
        <v>59</v>
      </c>
      <c r="E129" s="191" t="s">
        <v>59</v>
      </c>
      <c r="F129" s="192" t="s">
        <v>59</v>
      </c>
      <c r="G129" s="192" t="s">
        <v>59</v>
      </c>
      <c r="H129" s="192"/>
      <c r="I129" s="191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" si="46">B129</f>
        <v>Noah Weisshaupt</v>
      </c>
    </row>
    <row r="130" spans="1:28" ht="10.5" customHeight="1" x14ac:dyDescent="0.2">
      <c r="A130" s="200">
        <v>8</v>
      </c>
      <c r="B130" s="190" t="s">
        <v>314</v>
      </c>
      <c r="C130" s="190" t="s">
        <v>2</v>
      </c>
      <c r="D130" s="191" t="s">
        <v>59</v>
      </c>
      <c r="E130" s="191" t="s">
        <v>59</v>
      </c>
      <c r="F130" s="192" t="s">
        <v>59</v>
      </c>
      <c r="G130" s="192" t="s">
        <v>59</v>
      </c>
      <c r="H130" s="192"/>
      <c r="I130" s="191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9" si="47">B130</f>
        <v>Maximilian Eggestein</v>
      </c>
    </row>
    <row r="131" spans="1:28" ht="10.5" customHeight="1" x14ac:dyDescent="0.2">
      <c r="A131" s="200">
        <v>11</v>
      </c>
      <c r="B131" s="190" t="s">
        <v>344</v>
      </c>
      <c r="C131" s="190" t="s">
        <v>2</v>
      </c>
      <c r="D131" s="191" t="s">
        <v>59</v>
      </c>
      <c r="E131" s="191" t="s">
        <v>59</v>
      </c>
      <c r="F131" s="192" t="s">
        <v>59</v>
      </c>
      <c r="G131" s="192" t="s">
        <v>59</v>
      </c>
      <c r="H131" s="192"/>
      <c r="I131" s="191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Daniel-Kofi Kyereh</v>
      </c>
    </row>
    <row r="132" spans="1:28" ht="10.5" customHeight="1" x14ac:dyDescent="0.2">
      <c r="A132" s="200">
        <v>14</v>
      </c>
      <c r="B132" s="190" t="s">
        <v>226</v>
      </c>
      <c r="C132" s="190" t="s">
        <v>2</v>
      </c>
      <c r="D132" s="191" t="s">
        <v>59</v>
      </c>
      <c r="E132" s="191" t="s">
        <v>59</v>
      </c>
      <c r="F132" s="192" t="s">
        <v>59</v>
      </c>
      <c r="G132" s="192" t="s">
        <v>59</v>
      </c>
      <c r="H132" s="192"/>
      <c r="I132" s="191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Yannik Keitel</v>
      </c>
    </row>
    <row r="133" spans="1:28" ht="10.5" customHeight="1" x14ac:dyDescent="0.2">
      <c r="A133" s="200">
        <v>22</v>
      </c>
      <c r="B133" s="190" t="s">
        <v>200</v>
      </c>
      <c r="C133" s="190" t="s">
        <v>2</v>
      </c>
      <c r="D133" s="191" t="s">
        <v>59</v>
      </c>
      <c r="E133" s="191" t="s">
        <v>59</v>
      </c>
      <c r="F133" s="192" t="s">
        <v>59</v>
      </c>
      <c r="G133" s="192" t="s">
        <v>59</v>
      </c>
      <c r="H133" s="192"/>
      <c r="I133" s="191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7"/>
        <v>Roland Sallai (A)</v>
      </c>
    </row>
    <row r="134" spans="1:28" ht="10.5" customHeight="1" x14ac:dyDescent="0.2">
      <c r="A134" s="200">
        <v>27</v>
      </c>
      <c r="B134" s="190" t="s">
        <v>142</v>
      </c>
      <c r="C134" s="190" t="s">
        <v>2</v>
      </c>
      <c r="D134" s="191" t="s">
        <v>59</v>
      </c>
      <c r="E134" s="191" t="s">
        <v>59</v>
      </c>
      <c r="F134" s="192" t="s">
        <v>59</v>
      </c>
      <c r="G134" s="192" t="s">
        <v>59</v>
      </c>
      <c r="H134" s="192"/>
      <c r="I134" s="191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Nicolas Höfler</v>
      </c>
    </row>
    <row r="135" spans="1:28" ht="10.5" customHeight="1" x14ac:dyDescent="0.2">
      <c r="A135" s="200">
        <v>32</v>
      </c>
      <c r="B135" s="190" t="s">
        <v>413</v>
      </c>
      <c r="C135" s="190" t="s">
        <v>2</v>
      </c>
      <c r="D135" s="191" t="s">
        <v>59</v>
      </c>
      <c r="E135" s="191" t="s">
        <v>59</v>
      </c>
      <c r="F135" s="192" t="s">
        <v>59</v>
      </c>
      <c r="G135" s="192" t="s">
        <v>59</v>
      </c>
      <c r="H135" s="192"/>
      <c r="I135" s="191"/>
      <c r="J135" s="181"/>
      <c r="K135" s="182"/>
      <c r="L135" s="182"/>
      <c r="M135" s="182"/>
      <c r="N135" s="182"/>
      <c r="O135" s="182">
        <v>8</v>
      </c>
      <c r="P135" s="182">
        <v>5</v>
      </c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Vincenzo Grifo</v>
      </c>
    </row>
    <row r="136" spans="1:28" ht="10.5" customHeight="1" x14ac:dyDescent="0.2">
      <c r="A136" s="200">
        <v>34</v>
      </c>
      <c r="B136" s="190" t="s">
        <v>389</v>
      </c>
      <c r="C136" s="190" t="s">
        <v>2</v>
      </c>
      <c r="D136" s="191" t="s">
        <v>59</v>
      </c>
      <c r="E136" s="191" t="s">
        <v>59</v>
      </c>
      <c r="F136" s="192" t="s">
        <v>59</v>
      </c>
      <c r="G136" s="192" t="s">
        <v>59</v>
      </c>
      <c r="H136" s="192"/>
      <c r="I136" s="191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7"/>
        <v>Merlin Röhl</v>
      </c>
    </row>
    <row r="137" spans="1:28" ht="10.5" customHeight="1" x14ac:dyDescent="0.2">
      <c r="A137" s="200">
        <v>35</v>
      </c>
      <c r="B137" s="190" t="s">
        <v>658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7"/>
        <v>Fabian Rüdlin</v>
      </c>
    </row>
    <row r="138" spans="1:28" ht="10.5" customHeight="1" x14ac:dyDescent="0.2">
      <c r="A138" s="200">
        <v>42</v>
      </c>
      <c r="B138" s="190" t="s">
        <v>607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8">B138</f>
        <v>Ritsu Dōan (A)</v>
      </c>
    </row>
    <row r="139" spans="1:28" ht="10.5" customHeight="1" x14ac:dyDescent="0.2">
      <c r="A139" s="200">
        <v>54</v>
      </c>
      <c r="B139" s="190" t="s">
        <v>585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7"/>
        <v>Mika Baur</v>
      </c>
    </row>
    <row r="140" spans="1:28" ht="10.5" customHeight="1" x14ac:dyDescent="0.2">
      <c r="A140" s="201">
        <v>9</v>
      </c>
      <c r="B140" s="195" t="s">
        <v>172</v>
      </c>
      <c r="C140" s="195" t="s">
        <v>3</v>
      </c>
      <c r="D140" s="196" t="s">
        <v>59</v>
      </c>
      <c r="E140" s="196" t="s">
        <v>59</v>
      </c>
      <c r="F140" s="197" t="s">
        <v>59</v>
      </c>
      <c r="G140" s="197" t="s">
        <v>59</v>
      </c>
      <c r="H140" s="197"/>
      <c r="I140" s="196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0"/>
        <v>Lucas Höler</v>
      </c>
    </row>
    <row r="141" spans="1:28" ht="10.5" customHeight="1" x14ac:dyDescent="0.2">
      <c r="A141" s="201">
        <v>20</v>
      </c>
      <c r="B141" s="195" t="s">
        <v>448</v>
      </c>
      <c r="C141" s="195" t="s">
        <v>3</v>
      </c>
      <c r="D141" s="196" t="s">
        <v>59</v>
      </c>
      <c r="E141" s="196" t="s">
        <v>59</v>
      </c>
      <c r="F141" s="197" t="s">
        <v>59</v>
      </c>
      <c r="G141" s="197" t="s">
        <v>59</v>
      </c>
      <c r="H141" s="197"/>
      <c r="I141" s="196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44" si="49">B141</f>
        <v>Junior Adamu (A)</v>
      </c>
    </row>
    <row r="142" spans="1:28" ht="10.5" customHeight="1" x14ac:dyDescent="0.2">
      <c r="A142" s="201">
        <v>26</v>
      </c>
      <c r="B142" s="195" t="s">
        <v>257</v>
      </c>
      <c r="C142" s="195" t="s">
        <v>3</v>
      </c>
      <c r="D142" s="196" t="s">
        <v>59</v>
      </c>
      <c r="E142" s="196" t="s">
        <v>59</v>
      </c>
      <c r="F142" s="197" t="s">
        <v>59</v>
      </c>
      <c r="G142" s="197" t="s">
        <v>59</v>
      </c>
      <c r="H142" s="197"/>
      <c r="I142" s="196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9"/>
        <v>Maximilian Philipp</v>
      </c>
    </row>
    <row r="143" spans="1:28" ht="10.5" customHeight="1" x14ac:dyDescent="0.2">
      <c r="A143" s="201">
        <v>38</v>
      </c>
      <c r="B143" s="195" t="s">
        <v>242</v>
      </c>
      <c r="C143" s="195" t="s">
        <v>3</v>
      </c>
      <c r="D143" s="196" t="s">
        <v>59</v>
      </c>
      <c r="E143" s="196" t="s">
        <v>59</v>
      </c>
      <c r="F143" s="197" t="s">
        <v>59</v>
      </c>
      <c r="G143" s="197" t="s">
        <v>59</v>
      </c>
      <c r="H143" s="197"/>
      <c r="I143" s="196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ref="AB143" si="50">B143</f>
        <v>Michael Gregoritsch (A)</v>
      </c>
    </row>
    <row r="144" spans="1:28" ht="10.5" customHeight="1" x14ac:dyDescent="0.2">
      <c r="A144" s="201">
        <v>44</v>
      </c>
      <c r="B144" s="195" t="s">
        <v>586</v>
      </c>
      <c r="C144" s="195" t="s">
        <v>3</v>
      </c>
      <c r="D144" s="196" t="s">
        <v>59</v>
      </c>
      <c r="E144" s="196" t="s">
        <v>59</v>
      </c>
      <c r="F144" s="197" t="s">
        <v>59</v>
      </c>
      <c r="G144" s="197" t="s">
        <v>59</v>
      </c>
      <c r="H144" s="197"/>
      <c r="I144" s="196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9"/>
        <v>Maximilian Breunig</v>
      </c>
    </row>
    <row r="145" spans="1:28" ht="15" customHeight="1" thickBot="1" x14ac:dyDescent="0.25">
      <c r="A145" s="220" t="s">
        <v>30</v>
      </c>
      <c r="B145" s="220"/>
      <c r="C145" s="220"/>
      <c r="D145" s="220"/>
      <c r="E145" s="220"/>
      <c r="F145" s="220"/>
      <c r="G145" s="220"/>
      <c r="H145" s="220"/>
      <c r="I145" s="220"/>
      <c r="J145" s="10"/>
      <c r="K145" s="176">
        <v>12</v>
      </c>
      <c r="L145" s="176">
        <v>12</v>
      </c>
      <c r="M145" s="176">
        <v>12</v>
      </c>
      <c r="N145" s="176">
        <v>12</v>
      </c>
      <c r="O145" s="176">
        <v>12</v>
      </c>
      <c r="P145" s="176">
        <v>12</v>
      </c>
      <c r="Q145" s="176">
        <v>12</v>
      </c>
      <c r="R145" s="176">
        <v>12</v>
      </c>
      <c r="S145" s="176">
        <v>12</v>
      </c>
      <c r="T145" s="176">
        <v>12</v>
      </c>
      <c r="U145" s="176">
        <v>12</v>
      </c>
      <c r="V145" s="176">
        <v>12</v>
      </c>
      <c r="W145" s="176">
        <v>12</v>
      </c>
      <c r="X145" s="176">
        <v>12</v>
      </c>
      <c r="Y145" s="176">
        <v>12</v>
      </c>
      <c r="Z145" s="217"/>
      <c r="AB145" s="175" t="str">
        <f>A145</f>
        <v>Bayer Leverkusen</v>
      </c>
    </row>
    <row r="146" spans="1:28" s="113" customFormat="1" ht="10.5" customHeight="1" x14ac:dyDescent="0.2">
      <c r="A146" s="177">
        <v>1</v>
      </c>
      <c r="B146" s="178" t="s">
        <v>608</v>
      </c>
      <c r="C146" s="178" t="s">
        <v>0</v>
      </c>
      <c r="D146" s="179" t="s">
        <v>59</v>
      </c>
      <c r="E146" s="179" t="s">
        <v>59</v>
      </c>
      <c r="F146" s="180" t="s">
        <v>59</v>
      </c>
      <c r="G146" s="180" t="s">
        <v>59</v>
      </c>
      <c r="H146" s="180"/>
      <c r="I146" s="179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72"/>
      <c r="AB146" s="175" t="str">
        <f>B146</f>
        <v>Lukáš Hrádecký (A)</v>
      </c>
    </row>
    <row r="147" spans="1:28" s="113" customFormat="1" ht="10.5" customHeight="1" x14ac:dyDescent="0.2">
      <c r="A147" s="177">
        <v>17</v>
      </c>
      <c r="B147" s="178" t="s">
        <v>609</v>
      </c>
      <c r="C147" s="178" t="s">
        <v>0</v>
      </c>
      <c r="D147" s="179" t="s">
        <v>59</v>
      </c>
      <c r="E147" s="179" t="s">
        <v>59</v>
      </c>
      <c r="F147" s="180" t="s">
        <v>59</v>
      </c>
      <c r="G147" s="180" t="s">
        <v>59</v>
      </c>
      <c r="H147" s="180"/>
      <c r="I147" s="179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72"/>
      <c r="AB147" s="175" t="str">
        <f t="shared" ref="AB147" si="51">B147</f>
        <v>Matěj Kovář (A)</v>
      </c>
    </row>
    <row r="148" spans="1:28" s="113" customFormat="1" ht="10.5" customHeight="1" x14ac:dyDescent="0.2">
      <c r="A148" s="177">
        <v>36</v>
      </c>
      <c r="B148" s="178" t="s">
        <v>187</v>
      </c>
      <c r="C148" s="178" t="s">
        <v>0</v>
      </c>
      <c r="D148" s="179" t="s">
        <v>59</v>
      </c>
      <c r="E148" s="179" t="s">
        <v>59</v>
      </c>
      <c r="F148" s="180" t="s">
        <v>59</v>
      </c>
      <c r="G148" s="180" t="s">
        <v>59</v>
      </c>
      <c r="H148" s="180"/>
      <c r="I148" s="179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72"/>
      <c r="AB148" s="175" t="str">
        <f t="shared" ref="AB148:AB149" si="52">B148</f>
        <v>Niklas Lomb</v>
      </c>
    </row>
    <row r="149" spans="1:28" s="113" customFormat="1" ht="10.5" customHeight="1" x14ac:dyDescent="0.2">
      <c r="A149" s="198">
        <v>2</v>
      </c>
      <c r="B149" s="199" t="s">
        <v>610</v>
      </c>
      <c r="C149" s="185" t="s">
        <v>1</v>
      </c>
      <c r="D149" s="186" t="s">
        <v>59</v>
      </c>
      <c r="E149" s="186" t="s">
        <v>59</v>
      </c>
      <c r="F149" s="187" t="s">
        <v>59</v>
      </c>
      <c r="G149" s="187" t="s">
        <v>59</v>
      </c>
      <c r="H149" s="187"/>
      <c r="I149" s="18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72"/>
      <c r="AB149" s="175" t="str">
        <f t="shared" si="52"/>
        <v>Josip Stanišić</v>
      </c>
    </row>
    <row r="150" spans="1:28" s="113" customFormat="1" ht="10.5" customHeight="1" x14ac:dyDescent="0.2">
      <c r="A150" s="198">
        <v>3</v>
      </c>
      <c r="B150" s="199" t="s">
        <v>313</v>
      </c>
      <c r="C150" s="185" t="s">
        <v>1</v>
      </c>
      <c r="D150" s="186" t="s">
        <v>59</v>
      </c>
      <c r="E150" s="186" t="s">
        <v>59</v>
      </c>
      <c r="F150" s="187" t="s">
        <v>59</v>
      </c>
      <c r="G150" s="187" t="s">
        <v>59</v>
      </c>
      <c r="H150" s="187"/>
      <c r="I150" s="18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72"/>
      <c r="AB150" s="175" t="str">
        <f t="shared" ref="AB150:AB164" si="53">B150</f>
        <v>Piero Hincapie (A)</v>
      </c>
    </row>
    <row r="151" spans="1:28" s="113" customFormat="1" ht="10.5" customHeight="1" x14ac:dyDescent="0.2">
      <c r="A151" s="198">
        <v>4</v>
      </c>
      <c r="B151" s="199" t="s">
        <v>117</v>
      </c>
      <c r="C151" s="185" t="s">
        <v>1</v>
      </c>
      <c r="D151" s="186" t="s">
        <v>59</v>
      </c>
      <c r="E151" s="186" t="s">
        <v>59</v>
      </c>
      <c r="F151" s="187" t="s">
        <v>59</v>
      </c>
      <c r="G151" s="187" t="s">
        <v>59</v>
      </c>
      <c r="H151" s="187"/>
      <c r="I151" s="186"/>
      <c r="J151" s="181"/>
      <c r="K151" s="182">
        <v>2</v>
      </c>
      <c r="L151" s="182"/>
      <c r="M151" s="182"/>
      <c r="N151" s="182"/>
      <c r="O151" s="182">
        <v>4</v>
      </c>
      <c r="P151" s="182"/>
      <c r="Q151" s="182">
        <v>2</v>
      </c>
      <c r="R151" s="182"/>
      <c r="S151" s="182"/>
      <c r="T151" s="182"/>
      <c r="U151" s="182"/>
      <c r="V151" s="182"/>
      <c r="W151" s="182"/>
      <c r="X151" s="182"/>
      <c r="Y151" s="182"/>
      <c r="Z151" s="172"/>
      <c r="AB151" s="175" t="str">
        <f t="shared" ref="AB151" si="54">B151</f>
        <v>Jonathan Tah</v>
      </c>
    </row>
    <row r="152" spans="1:28" s="113" customFormat="1" ht="10.5" customHeight="1" x14ac:dyDescent="0.2">
      <c r="A152" s="198">
        <v>6</v>
      </c>
      <c r="B152" s="199" t="s">
        <v>277</v>
      </c>
      <c r="C152" s="185" t="s">
        <v>1</v>
      </c>
      <c r="D152" s="186" t="s">
        <v>59</v>
      </c>
      <c r="E152" s="186" t="s">
        <v>59</v>
      </c>
      <c r="F152" s="187" t="s">
        <v>59</v>
      </c>
      <c r="G152" s="187" t="s">
        <v>59</v>
      </c>
      <c r="H152" s="187"/>
      <c r="I152" s="18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72"/>
      <c r="AB152" s="175" t="str">
        <f t="shared" si="53"/>
        <v>Odilou Kossounou (A)</v>
      </c>
    </row>
    <row r="153" spans="1:28" s="113" customFormat="1" ht="10.5" customHeight="1" x14ac:dyDescent="0.2">
      <c r="A153" s="198">
        <v>12</v>
      </c>
      <c r="B153" s="199" t="s">
        <v>222</v>
      </c>
      <c r="C153" s="185" t="s">
        <v>1</v>
      </c>
      <c r="D153" s="186" t="s">
        <v>59</v>
      </c>
      <c r="E153" s="186" t="s">
        <v>59</v>
      </c>
      <c r="F153" s="187" t="s">
        <v>59</v>
      </c>
      <c r="G153" s="187" t="s">
        <v>59</v>
      </c>
      <c r="H153" s="187"/>
      <c r="I153" s="18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72"/>
      <c r="AB153" s="175" t="str">
        <f t="shared" ref="AB153" si="55">B153</f>
        <v>Edmond Tapsoba (A)</v>
      </c>
    </row>
    <row r="154" spans="1:28" s="113" customFormat="1" ht="10.5" customHeight="1" x14ac:dyDescent="0.2">
      <c r="A154" s="198">
        <v>13</v>
      </c>
      <c r="B154" s="199" t="s">
        <v>449</v>
      </c>
      <c r="C154" s="185" t="s">
        <v>1</v>
      </c>
      <c r="D154" s="186" t="s">
        <v>59</v>
      </c>
      <c r="E154" s="186" t="s">
        <v>59</v>
      </c>
      <c r="F154" s="187" t="s">
        <v>59</v>
      </c>
      <c r="G154" s="187" t="s">
        <v>59</v>
      </c>
      <c r="H154" s="187"/>
      <c r="I154" s="18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 t="shared" si="53"/>
        <v>Arthur (A)</v>
      </c>
    </row>
    <row r="155" spans="1:28" s="113" customFormat="1" ht="10.5" customHeight="1" x14ac:dyDescent="0.2">
      <c r="A155" s="198">
        <v>20</v>
      </c>
      <c r="B155" s="199" t="s">
        <v>450</v>
      </c>
      <c r="C155" s="185" t="s">
        <v>1</v>
      </c>
      <c r="D155" s="186" t="s">
        <v>59</v>
      </c>
      <c r="E155" s="186" t="s">
        <v>59</v>
      </c>
      <c r="F155" s="187" t="s">
        <v>59</v>
      </c>
      <c r="G155" s="187" t="s">
        <v>59</v>
      </c>
      <c r="H155" s="187"/>
      <c r="I155" s="18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si="53"/>
        <v>Alejandro Grimaldi (A)</v>
      </c>
    </row>
    <row r="156" spans="1:28" s="113" customFormat="1" ht="10.5" customHeight="1" x14ac:dyDescent="0.2">
      <c r="A156" s="198">
        <v>24</v>
      </c>
      <c r="B156" s="199" t="s">
        <v>262</v>
      </c>
      <c r="C156" s="185" t="s">
        <v>1</v>
      </c>
      <c r="D156" s="186" t="s">
        <v>59</v>
      </c>
      <c r="E156" s="186" t="s">
        <v>59</v>
      </c>
      <c r="F156" s="187" t="s">
        <v>59</v>
      </c>
      <c r="G156" s="187" t="s">
        <v>59</v>
      </c>
      <c r="H156" s="187"/>
      <c r="I156" s="18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si="53"/>
        <v>Timothy Fosu-Mensah (A)</v>
      </c>
    </row>
    <row r="157" spans="1:28" s="113" customFormat="1" ht="10.5" customHeight="1" x14ac:dyDescent="0.2">
      <c r="A157" s="198">
        <v>30</v>
      </c>
      <c r="B157" s="199" t="s">
        <v>263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>
        <v>4</v>
      </c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3"/>
        <v>Jeremie Frimpong (A)</v>
      </c>
    </row>
    <row r="158" spans="1:28" s="113" customFormat="1" ht="10.5" customHeight="1" x14ac:dyDescent="0.2">
      <c r="A158" s="198">
        <v>31</v>
      </c>
      <c r="B158" s="199" t="s">
        <v>451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" si="56">B158</f>
        <v>Madi Monamay (A)</v>
      </c>
    </row>
    <row r="159" spans="1:28" s="113" customFormat="1" ht="10.5" customHeight="1" x14ac:dyDescent="0.2">
      <c r="A159" s="198">
        <v>48</v>
      </c>
      <c r="B159" s="199" t="s">
        <v>594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si="53"/>
        <v>Reno Münz</v>
      </c>
    </row>
    <row r="160" spans="1:28" s="113" customFormat="1" ht="10.5" customHeight="1" x14ac:dyDescent="0.2">
      <c r="A160" s="202">
        <v>7</v>
      </c>
      <c r="B160" s="203" t="s">
        <v>115</v>
      </c>
      <c r="C160" s="203" t="s">
        <v>2</v>
      </c>
      <c r="D160" s="191" t="s">
        <v>59</v>
      </c>
      <c r="E160" s="191" t="s">
        <v>59</v>
      </c>
      <c r="F160" s="192" t="s">
        <v>59</v>
      </c>
      <c r="G160" s="192" t="s">
        <v>59</v>
      </c>
      <c r="H160" s="192"/>
      <c r="I160" s="191"/>
      <c r="J160" s="181"/>
      <c r="K160" s="182">
        <v>7</v>
      </c>
      <c r="L160" s="182">
        <v>5</v>
      </c>
      <c r="M160" s="182">
        <v>5</v>
      </c>
      <c r="N160" s="182"/>
      <c r="O160" s="182"/>
      <c r="P160" s="182"/>
      <c r="Q160" s="182"/>
      <c r="R160" s="182">
        <v>5</v>
      </c>
      <c r="S160" s="182">
        <v>8</v>
      </c>
      <c r="T160" s="182"/>
      <c r="U160" s="182"/>
      <c r="V160" s="182"/>
      <c r="W160" s="182"/>
      <c r="X160" s="182"/>
      <c r="Y160" s="182"/>
      <c r="Z160" s="172"/>
      <c r="AB160" s="175" t="str">
        <f t="shared" ref="AB160" si="57">B160</f>
        <v>Jonas Hofmann</v>
      </c>
    </row>
    <row r="161" spans="1:28" s="113" customFormat="1" ht="10.5" customHeight="1" x14ac:dyDescent="0.2">
      <c r="A161" s="202">
        <v>8</v>
      </c>
      <c r="B161" s="203" t="s">
        <v>214</v>
      </c>
      <c r="C161" s="203" t="s">
        <v>2</v>
      </c>
      <c r="D161" s="191" t="s">
        <v>59</v>
      </c>
      <c r="E161" s="191" t="s">
        <v>59</v>
      </c>
      <c r="F161" s="192" t="s">
        <v>59</v>
      </c>
      <c r="G161" s="192" t="s">
        <v>59</v>
      </c>
      <c r="H161" s="192"/>
      <c r="I161" s="191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3"/>
        <v>Robert Andrich</v>
      </c>
    </row>
    <row r="162" spans="1:28" s="113" customFormat="1" ht="10.5" customHeight="1" x14ac:dyDescent="0.2">
      <c r="A162" s="202">
        <v>10</v>
      </c>
      <c r="B162" s="203" t="s">
        <v>224</v>
      </c>
      <c r="C162" s="203" t="s">
        <v>2</v>
      </c>
      <c r="D162" s="191" t="s">
        <v>59</v>
      </c>
      <c r="E162" s="191" t="s">
        <v>59</v>
      </c>
      <c r="F162" s="192" t="s">
        <v>59</v>
      </c>
      <c r="G162" s="192" t="s">
        <v>59</v>
      </c>
      <c r="H162" s="192"/>
      <c r="I162" s="191"/>
      <c r="J162" s="181"/>
      <c r="K162" s="182"/>
      <c r="L162" s="182"/>
      <c r="M162" s="182"/>
      <c r="N162" s="182">
        <v>8</v>
      </c>
      <c r="O162" s="182"/>
      <c r="P162" s="182">
        <v>6</v>
      </c>
      <c r="Q162" s="182">
        <v>8</v>
      </c>
      <c r="R162" s="182">
        <v>6</v>
      </c>
      <c r="S162" s="182"/>
      <c r="T162" s="182"/>
      <c r="U162" s="182"/>
      <c r="V162" s="182"/>
      <c r="W162" s="182"/>
      <c r="X162" s="182"/>
      <c r="Y162" s="182"/>
      <c r="Z162" s="172"/>
      <c r="AB162" s="175" t="str">
        <f>B162</f>
        <v>Florian Wirtz</v>
      </c>
    </row>
    <row r="163" spans="1:28" s="113" customFormat="1" ht="10.5" customHeight="1" x14ac:dyDescent="0.2">
      <c r="A163" s="202">
        <v>11</v>
      </c>
      <c r="B163" s="203" t="s">
        <v>337</v>
      </c>
      <c r="C163" s="203" t="s">
        <v>2</v>
      </c>
      <c r="D163" s="191" t="s">
        <v>59</v>
      </c>
      <c r="E163" s="191" t="s">
        <v>59</v>
      </c>
      <c r="F163" s="192" t="s">
        <v>59</v>
      </c>
      <c r="G163" s="192" t="s">
        <v>59</v>
      </c>
      <c r="H163" s="192"/>
      <c r="I163" s="191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" si="58">B163</f>
        <v>Nadiem Amiri</v>
      </c>
    </row>
    <row r="164" spans="1:28" s="113" customFormat="1" ht="10.5" customHeight="1" x14ac:dyDescent="0.2">
      <c r="A164" s="202">
        <v>18</v>
      </c>
      <c r="B164" s="203" t="s">
        <v>405</v>
      </c>
      <c r="C164" s="203" t="s">
        <v>2</v>
      </c>
      <c r="D164" s="191" t="s">
        <v>59</v>
      </c>
      <c r="E164" s="191" t="s">
        <v>59</v>
      </c>
      <c r="F164" s="192" t="s">
        <v>59</v>
      </c>
      <c r="G164" s="192" t="s">
        <v>59</v>
      </c>
      <c r="H164" s="192"/>
      <c r="I164" s="191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Noah Mbamba (A)</v>
      </c>
    </row>
    <row r="165" spans="1:28" s="113" customFormat="1" ht="10.5" customHeight="1" x14ac:dyDescent="0.2">
      <c r="A165" s="202">
        <v>25</v>
      </c>
      <c r="B165" s="203" t="s">
        <v>218</v>
      </c>
      <c r="C165" s="203" t="s">
        <v>2</v>
      </c>
      <c r="D165" s="191" t="s">
        <v>59</v>
      </c>
      <c r="E165" s="191" t="s">
        <v>59</v>
      </c>
      <c r="F165" s="192" t="s">
        <v>59</v>
      </c>
      <c r="G165" s="192" t="s">
        <v>59</v>
      </c>
      <c r="H165" s="192"/>
      <c r="I165" s="191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ref="AB165" si="59">B165</f>
        <v>Exequiel Palacios (A)</v>
      </c>
    </row>
    <row r="166" spans="1:28" s="113" customFormat="1" ht="10.5" customHeight="1" x14ac:dyDescent="0.2">
      <c r="A166" s="202">
        <v>32</v>
      </c>
      <c r="B166" s="203" t="s">
        <v>452</v>
      </c>
      <c r="C166" s="203" t="s">
        <v>2</v>
      </c>
      <c r="D166" s="191" t="s">
        <v>59</v>
      </c>
      <c r="E166" s="191" t="s">
        <v>59</v>
      </c>
      <c r="F166" s="192" t="s">
        <v>59</v>
      </c>
      <c r="G166" s="192" t="s">
        <v>59</v>
      </c>
      <c r="H166" s="192"/>
      <c r="I166" s="191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Gustavo Puerta (A)</v>
      </c>
    </row>
    <row r="167" spans="1:28" s="113" customFormat="1" ht="10.5" customHeight="1" x14ac:dyDescent="0.2">
      <c r="A167" s="202">
        <v>34</v>
      </c>
      <c r="B167" s="203" t="s">
        <v>453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:AB168" si="61">B167</f>
        <v>Granit Xhaka (A)</v>
      </c>
    </row>
    <row r="168" spans="1:28" s="113" customFormat="1" ht="10.5" customHeight="1" x14ac:dyDescent="0.2">
      <c r="A168" s="202">
        <v>47</v>
      </c>
      <c r="B168" s="203" t="s">
        <v>454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61"/>
        <v>Ayman Aourir</v>
      </c>
    </row>
    <row r="169" spans="1:28" s="113" customFormat="1" ht="10.5" customHeight="1" x14ac:dyDescent="0.2">
      <c r="A169" s="201">
        <v>14</v>
      </c>
      <c r="B169" s="195" t="s">
        <v>253</v>
      </c>
      <c r="C169" s="195" t="s">
        <v>3</v>
      </c>
      <c r="D169" s="196" t="s">
        <v>59</v>
      </c>
      <c r="E169" s="196" t="s">
        <v>59</v>
      </c>
      <c r="F169" s="197" t="s">
        <v>59</v>
      </c>
      <c r="G169" s="197" t="s">
        <v>59</v>
      </c>
      <c r="H169" s="197"/>
      <c r="I169" s="19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:AB173" si="62">B169</f>
        <v>Patrick Schick (A)</v>
      </c>
    </row>
    <row r="170" spans="1:28" s="113" customFormat="1" ht="10.5" customHeight="1" x14ac:dyDescent="0.2">
      <c r="A170" s="201">
        <v>19</v>
      </c>
      <c r="B170" s="195" t="s">
        <v>638</v>
      </c>
      <c r="C170" s="195" t="s">
        <v>3</v>
      </c>
      <c r="D170" s="196" t="s">
        <v>59</v>
      </c>
      <c r="E170" s="196" t="s">
        <v>59</v>
      </c>
      <c r="F170" s="197" t="s">
        <v>59</v>
      </c>
      <c r="G170" s="197" t="s">
        <v>59</v>
      </c>
      <c r="H170" s="197"/>
      <c r="I170" s="19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62"/>
        <v>Nathan Tella (A)</v>
      </c>
    </row>
    <row r="171" spans="1:28" s="113" customFormat="1" ht="10.5" customHeight="1" x14ac:dyDescent="0.2">
      <c r="A171" s="201">
        <v>21</v>
      </c>
      <c r="B171" s="195" t="s">
        <v>315</v>
      </c>
      <c r="C171" s="195" t="s">
        <v>3</v>
      </c>
      <c r="D171" s="196" t="s">
        <v>59</v>
      </c>
      <c r="E171" s="196" t="s">
        <v>59</v>
      </c>
      <c r="F171" s="197" t="s">
        <v>59</v>
      </c>
      <c r="G171" s="197" t="s">
        <v>59</v>
      </c>
      <c r="H171" s="197"/>
      <c r="I171" s="19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>B171</f>
        <v>Amine Adli (A)</v>
      </c>
    </row>
    <row r="172" spans="1:28" s="113" customFormat="1" ht="10.5" customHeight="1" x14ac:dyDescent="0.2">
      <c r="A172" s="201">
        <v>22</v>
      </c>
      <c r="B172" s="195" t="s">
        <v>455</v>
      </c>
      <c r="C172" s="195" t="s">
        <v>3</v>
      </c>
      <c r="D172" s="196" t="s">
        <v>59</v>
      </c>
      <c r="E172" s="196" t="s">
        <v>59</v>
      </c>
      <c r="F172" s="197" t="s">
        <v>59</v>
      </c>
      <c r="G172" s="197" t="s">
        <v>59</v>
      </c>
      <c r="H172" s="197"/>
      <c r="I172" s="196"/>
      <c r="J172" s="181"/>
      <c r="K172" s="182"/>
      <c r="L172" s="182">
        <v>9</v>
      </c>
      <c r="M172" s="182"/>
      <c r="N172" s="182">
        <v>11</v>
      </c>
      <c r="O172" s="182">
        <v>9</v>
      </c>
      <c r="P172" s="182">
        <v>10</v>
      </c>
      <c r="Q172" s="182"/>
      <c r="R172" s="182"/>
      <c r="S172" s="182">
        <v>11</v>
      </c>
      <c r="T172" s="182"/>
      <c r="U172" s="182"/>
      <c r="V172" s="182"/>
      <c r="W172" s="182"/>
      <c r="X172" s="182"/>
      <c r="Y172" s="182"/>
      <c r="Z172" s="172"/>
      <c r="AB172" s="175" t="str">
        <f t="shared" si="62"/>
        <v>Victor Boniface (A)</v>
      </c>
    </row>
    <row r="173" spans="1:28" s="113" customFormat="1" ht="10.5" customHeight="1" x14ac:dyDescent="0.2">
      <c r="A173" s="201">
        <v>23</v>
      </c>
      <c r="B173" s="195" t="s">
        <v>611</v>
      </c>
      <c r="C173" s="195" t="s">
        <v>3</v>
      </c>
      <c r="D173" s="196" t="s">
        <v>59</v>
      </c>
      <c r="E173" s="196" t="s">
        <v>59</v>
      </c>
      <c r="F173" s="197" t="s">
        <v>59</v>
      </c>
      <c r="G173" s="197" t="s">
        <v>59</v>
      </c>
      <c r="H173" s="197"/>
      <c r="I173" s="196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62"/>
        <v>Adam Hložek (A)</v>
      </c>
    </row>
    <row r="174" spans="1:28" ht="15" customHeight="1" thickBot="1" x14ac:dyDescent="0.25">
      <c r="A174" s="219" t="s">
        <v>106</v>
      </c>
      <c r="B174" s="219"/>
      <c r="C174" s="219"/>
      <c r="D174" s="219"/>
      <c r="E174" s="219"/>
      <c r="F174" s="219"/>
      <c r="G174" s="219"/>
      <c r="H174" s="219"/>
      <c r="I174" s="219"/>
      <c r="J174" s="10"/>
      <c r="K174" s="176">
        <v>12</v>
      </c>
      <c r="L174" s="176">
        <v>12</v>
      </c>
      <c r="M174" s="176">
        <v>12</v>
      </c>
      <c r="N174" s="176">
        <v>12</v>
      </c>
      <c r="O174" s="176">
        <v>12</v>
      </c>
      <c r="P174" s="176">
        <v>12</v>
      </c>
      <c r="Q174" s="176">
        <v>12</v>
      </c>
      <c r="R174" s="176">
        <v>12</v>
      </c>
      <c r="S174" s="176">
        <v>12</v>
      </c>
      <c r="T174" s="176">
        <v>12</v>
      </c>
      <c r="U174" s="176">
        <v>12</v>
      </c>
      <c r="V174" s="176">
        <v>12</v>
      </c>
      <c r="W174" s="176">
        <v>12</v>
      </c>
      <c r="X174" s="176">
        <v>12</v>
      </c>
      <c r="Y174" s="176">
        <v>12</v>
      </c>
      <c r="Z174" s="217"/>
      <c r="AB174" s="175" t="str">
        <f>A174</f>
        <v>Eintracht Frankfurt</v>
      </c>
    </row>
    <row r="175" spans="1:28" ht="10.5" customHeight="1" x14ac:dyDescent="0.2">
      <c r="A175" s="177">
        <v>1</v>
      </c>
      <c r="B175" s="178" t="s">
        <v>192</v>
      </c>
      <c r="C175" s="178" t="s">
        <v>0</v>
      </c>
      <c r="D175" s="179" t="s">
        <v>59</v>
      </c>
      <c r="E175" s="179" t="s">
        <v>59</v>
      </c>
      <c r="F175" s="180" t="s">
        <v>59</v>
      </c>
      <c r="G175" s="180" t="s">
        <v>59</v>
      </c>
      <c r="H175" s="180"/>
      <c r="I175" s="179"/>
      <c r="J175" s="181"/>
      <c r="K175" s="182"/>
      <c r="L175" s="182"/>
      <c r="M175" s="182"/>
      <c r="N175" s="182">
        <v>1</v>
      </c>
      <c r="O175" s="182">
        <v>1</v>
      </c>
      <c r="P175" s="182">
        <v>1</v>
      </c>
      <c r="Q175" s="182">
        <v>1</v>
      </c>
      <c r="R175" s="182"/>
      <c r="S175" s="182">
        <v>1</v>
      </c>
      <c r="T175" s="182"/>
      <c r="U175" s="182"/>
      <c r="V175" s="182"/>
      <c r="W175" s="182"/>
      <c r="X175" s="182"/>
      <c r="Y175" s="182"/>
      <c r="AB175" s="175" t="str">
        <f t="shared" ref="AB175:AB180" si="63">B175</f>
        <v>Kevin Trapp</v>
      </c>
    </row>
    <row r="176" spans="1:28" ht="10.5" customHeight="1" x14ac:dyDescent="0.2">
      <c r="A176" s="177">
        <v>31</v>
      </c>
      <c r="B176" s="178" t="s">
        <v>245</v>
      </c>
      <c r="C176" s="178" t="s">
        <v>0</v>
      </c>
      <c r="D176" s="179" t="s">
        <v>59</v>
      </c>
      <c r="E176" s="179" t="s">
        <v>59</v>
      </c>
      <c r="F176" s="180" t="s">
        <v>59</v>
      </c>
      <c r="G176" s="180" t="s">
        <v>59</v>
      </c>
      <c r="H176" s="180"/>
      <c r="I176" s="179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AB176" s="175" t="str">
        <f t="shared" ref="AB176:AB178" si="64">B176</f>
        <v>Jens Grahl</v>
      </c>
    </row>
    <row r="177" spans="1:28" ht="10.5" customHeight="1" x14ac:dyDescent="0.2">
      <c r="A177" s="177">
        <v>40</v>
      </c>
      <c r="B177" s="178" t="s">
        <v>640</v>
      </c>
      <c r="C177" s="178" t="s">
        <v>0</v>
      </c>
      <c r="D177" s="179" t="s">
        <v>59</v>
      </c>
      <c r="E177" s="179" t="s">
        <v>59</v>
      </c>
      <c r="F177" s="180" t="s">
        <v>59</v>
      </c>
      <c r="G177" s="180" t="s">
        <v>59</v>
      </c>
      <c r="H177" s="180"/>
      <c r="I177" s="179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AB177" s="175" t="str">
        <f>B177</f>
        <v>Kauã Santos (A)</v>
      </c>
    </row>
    <row r="178" spans="1:28" ht="10.5" customHeight="1" x14ac:dyDescent="0.2">
      <c r="A178" s="177">
        <v>41</v>
      </c>
      <c r="B178" s="178" t="s">
        <v>456</v>
      </c>
      <c r="C178" s="178" t="s">
        <v>0</v>
      </c>
      <c r="D178" s="179" t="s">
        <v>59</v>
      </c>
      <c r="E178" s="179" t="s">
        <v>59</v>
      </c>
      <c r="F178" s="180" t="s">
        <v>59</v>
      </c>
      <c r="G178" s="180" t="s">
        <v>59</v>
      </c>
      <c r="H178" s="180"/>
      <c r="I178" s="179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AB178" s="175" t="str">
        <f t="shared" si="64"/>
        <v>Simon Simoni (A)</v>
      </c>
    </row>
    <row r="179" spans="1:28" ht="10.5" customHeight="1" x14ac:dyDescent="0.2">
      <c r="A179" s="177">
        <v>43</v>
      </c>
      <c r="B179" s="178" t="s">
        <v>643</v>
      </c>
      <c r="C179" s="178" t="s">
        <v>0</v>
      </c>
      <c r="D179" s="179" t="s">
        <v>59</v>
      </c>
      <c r="E179" s="179" t="s">
        <v>59</v>
      </c>
      <c r="F179" s="180" t="s">
        <v>59</v>
      </c>
      <c r="G179" s="180" t="s">
        <v>59</v>
      </c>
      <c r="H179" s="180"/>
      <c r="I179" s="179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AB179" s="175" t="str">
        <f t="shared" ref="AB179" si="65">B179</f>
        <v>Luke Grauer</v>
      </c>
    </row>
    <row r="180" spans="1:28" ht="10.5" customHeight="1" x14ac:dyDescent="0.2">
      <c r="A180" s="198">
        <v>3</v>
      </c>
      <c r="B180" s="199" t="s">
        <v>457</v>
      </c>
      <c r="C180" s="185" t="s">
        <v>1</v>
      </c>
      <c r="D180" s="186" t="s">
        <v>59</v>
      </c>
      <c r="E180" s="186" t="s">
        <v>59</v>
      </c>
      <c r="F180" s="187" t="s">
        <v>59</v>
      </c>
      <c r="G180" s="187" t="s">
        <v>59</v>
      </c>
      <c r="H180" s="187"/>
      <c r="I180" s="18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AB180" s="175" t="str">
        <f t="shared" si="63"/>
        <v>Willian Pacho (A)</v>
      </c>
    </row>
    <row r="181" spans="1:28" ht="10.5" customHeight="1" x14ac:dyDescent="0.2">
      <c r="A181" s="198">
        <v>4</v>
      </c>
      <c r="B181" s="199" t="s">
        <v>458</v>
      </c>
      <c r="C181" s="185" t="s">
        <v>1</v>
      </c>
      <c r="D181" s="186" t="s">
        <v>59</v>
      </c>
      <c r="E181" s="186" t="s">
        <v>59</v>
      </c>
      <c r="F181" s="187" t="s">
        <v>59</v>
      </c>
      <c r="G181" s="187" t="s">
        <v>59</v>
      </c>
      <c r="H181" s="187"/>
      <c r="I181" s="18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AB181" s="175" t="str">
        <f t="shared" ref="AB181:AB190" si="66">B181</f>
        <v>Robin Koch</v>
      </c>
    </row>
    <row r="182" spans="1:28" ht="10.5" customHeight="1" x14ac:dyDescent="0.2">
      <c r="A182" s="198">
        <v>5</v>
      </c>
      <c r="B182" s="199" t="s">
        <v>612</v>
      </c>
      <c r="C182" s="185" t="s">
        <v>1</v>
      </c>
      <c r="D182" s="186" t="s">
        <v>59</v>
      </c>
      <c r="E182" s="186" t="s">
        <v>59</v>
      </c>
      <c r="F182" s="187" t="s">
        <v>59</v>
      </c>
      <c r="G182" s="187" t="s">
        <v>59</v>
      </c>
      <c r="H182" s="187"/>
      <c r="I182" s="18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AB182" s="175" t="str">
        <f t="shared" si="66"/>
        <v>Hrvoje Smolčić (A)</v>
      </c>
    </row>
    <row r="183" spans="1:28" ht="10.5" customHeight="1" x14ac:dyDescent="0.2">
      <c r="A183" s="198">
        <v>20</v>
      </c>
      <c r="B183" s="199" t="s">
        <v>66</v>
      </c>
      <c r="C183" s="185" t="s">
        <v>1</v>
      </c>
      <c r="D183" s="186" t="s">
        <v>59</v>
      </c>
      <c r="E183" s="186" t="s">
        <v>59</v>
      </c>
      <c r="F183" s="187" t="s">
        <v>59</v>
      </c>
      <c r="G183" s="187" t="s">
        <v>59</v>
      </c>
      <c r="H183" s="187"/>
      <c r="I183" s="18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si="66"/>
        <v>Makoto Hasebe (A)</v>
      </c>
    </row>
    <row r="184" spans="1:28" ht="10.5" customHeight="1" x14ac:dyDescent="0.2">
      <c r="A184" s="198">
        <v>24</v>
      </c>
      <c r="B184" s="199" t="s">
        <v>615</v>
      </c>
      <c r="C184" s="185" t="s">
        <v>1</v>
      </c>
      <c r="D184" s="186" t="s">
        <v>59</v>
      </c>
      <c r="E184" s="186" t="s">
        <v>59</v>
      </c>
      <c r="F184" s="187" t="s">
        <v>59</v>
      </c>
      <c r="G184" s="187" t="s">
        <v>59</v>
      </c>
      <c r="H184" s="187"/>
      <c r="I184" s="18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si="66"/>
        <v>Aurélio Buta (A)</v>
      </c>
    </row>
    <row r="185" spans="1:28" ht="10.5" customHeight="1" x14ac:dyDescent="0.2">
      <c r="A185" s="198">
        <v>29</v>
      </c>
      <c r="B185" s="199" t="s">
        <v>644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>B185</f>
        <v>Niels Nkounkou (A)</v>
      </c>
    </row>
    <row r="186" spans="1:28" ht="10.5" customHeight="1" x14ac:dyDescent="0.2">
      <c r="A186" s="198">
        <v>31</v>
      </c>
      <c r="B186" s="199" t="s">
        <v>417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>
        <v>3</v>
      </c>
      <c r="O186" s="182">
        <v>3</v>
      </c>
      <c r="P186" s="182">
        <v>4</v>
      </c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Philipp Max</v>
      </c>
    </row>
    <row r="187" spans="1:28" ht="10.5" customHeight="1" x14ac:dyDescent="0.2">
      <c r="A187" s="198">
        <v>34</v>
      </c>
      <c r="B187" s="199" t="s">
        <v>645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Nnamdi Collins</v>
      </c>
    </row>
    <row r="188" spans="1:28" ht="10.5" customHeight="1" x14ac:dyDescent="0.2">
      <c r="A188" s="198">
        <v>35</v>
      </c>
      <c r="B188" s="199" t="s">
        <v>238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Tuta (A)</v>
      </c>
    </row>
    <row r="189" spans="1:28" ht="10.5" customHeight="1" x14ac:dyDescent="0.2">
      <c r="A189" s="198">
        <v>46</v>
      </c>
      <c r="B189" s="199" t="s">
        <v>459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7">B189</f>
        <v>Dario Gebuhr</v>
      </c>
    </row>
    <row r="190" spans="1:28" ht="10.5" customHeight="1" x14ac:dyDescent="0.2">
      <c r="A190" s="198">
        <v>47</v>
      </c>
      <c r="B190" s="199" t="s">
        <v>460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Elias Baum</v>
      </c>
    </row>
    <row r="191" spans="1:28" ht="10.5" customHeight="1" x14ac:dyDescent="0.2">
      <c r="A191" s="200">
        <v>6</v>
      </c>
      <c r="B191" s="190" t="s">
        <v>614</v>
      </c>
      <c r="C191" s="190" t="s">
        <v>2</v>
      </c>
      <c r="D191" s="191" t="s">
        <v>59</v>
      </c>
      <c r="E191" s="191" t="s">
        <v>59</v>
      </c>
      <c r="F191" s="192" t="s">
        <v>59</v>
      </c>
      <c r="G191" s="192" t="s">
        <v>59</v>
      </c>
      <c r="H191" s="192"/>
      <c r="I191" s="191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196" si="68">B191</f>
        <v>Kristijan Jakić (A)</v>
      </c>
    </row>
    <row r="192" spans="1:28" ht="10.5" customHeight="1" x14ac:dyDescent="0.2">
      <c r="A192" s="200">
        <v>8</v>
      </c>
      <c r="B192" s="190" t="s">
        <v>639</v>
      </c>
      <c r="C192" s="190" t="s">
        <v>2</v>
      </c>
      <c r="D192" s="191" t="s">
        <v>59</v>
      </c>
      <c r="E192" s="191" t="s">
        <v>59</v>
      </c>
      <c r="F192" s="192" t="s">
        <v>59</v>
      </c>
      <c r="G192" s="192" t="s">
        <v>59</v>
      </c>
      <c r="H192" s="192"/>
      <c r="I192" s="191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Farès Chaibi (A)</v>
      </c>
    </row>
    <row r="193" spans="1:28" ht="10.5" customHeight="1" x14ac:dyDescent="0.2">
      <c r="A193" s="200">
        <v>15</v>
      </c>
      <c r="B193" s="190" t="s">
        <v>206</v>
      </c>
      <c r="C193" s="190" t="s">
        <v>2</v>
      </c>
      <c r="D193" s="191" t="s">
        <v>59</v>
      </c>
      <c r="E193" s="191" t="s">
        <v>59</v>
      </c>
      <c r="F193" s="192" t="s">
        <v>59</v>
      </c>
      <c r="G193" s="192" t="s">
        <v>59</v>
      </c>
      <c r="H193" s="192"/>
      <c r="I193" s="191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8"/>
        <v>Ellyes Skhiri (A)</v>
      </c>
    </row>
    <row r="194" spans="1:28" ht="10.5" customHeight="1" x14ac:dyDescent="0.2">
      <c r="A194" s="200">
        <v>16</v>
      </c>
      <c r="B194" s="190" t="s">
        <v>461</v>
      </c>
      <c r="C194" s="190" t="s">
        <v>2</v>
      </c>
      <c r="D194" s="191" t="s">
        <v>59</v>
      </c>
      <c r="E194" s="191" t="s">
        <v>59</v>
      </c>
      <c r="F194" s="192" t="s">
        <v>59</v>
      </c>
      <c r="G194" s="192" t="s">
        <v>59</v>
      </c>
      <c r="H194" s="192"/>
      <c r="I194" s="191"/>
      <c r="J194" s="181"/>
      <c r="K194" s="182"/>
      <c r="L194" s="182">
        <v>8</v>
      </c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8"/>
        <v>Hugo Larsson (A)</v>
      </c>
    </row>
    <row r="195" spans="1:28" ht="10.5" customHeight="1" x14ac:dyDescent="0.2">
      <c r="A195" s="200">
        <v>17</v>
      </c>
      <c r="B195" s="190" t="s">
        <v>111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Sebastian Rode</v>
      </c>
    </row>
    <row r="196" spans="1:28" ht="10.5" customHeight="1" x14ac:dyDescent="0.2">
      <c r="A196" s="200">
        <v>22</v>
      </c>
      <c r="B196" s="190" t="s">
        <v>98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Timothy Chandler</v>
      </c>
    </row>
    <row r="197" spans="1:28" ht="10.5" customHeight="1" x14ac:dyDescent="0.2">
      <c r="A197" s="200">
        <v>26</v>
      </c>
      <c r="B197" s="190" t="s">
        <v>390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Eric Junior Dina Ebimbe (A)</v>
      </c>
    </row>
    <row r="198" spans="1:28" ht="10.5" customHeight="1" x14ac:dyDescent="0.2">
      <c r="A198" s="200">
        <v>27</v>
      </c>
      <c r="B198" s="190" t="s">
        <v>356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ref="AB198:AB200" si="69">B198</f>
        <v>Mario Götze</v>
      </c>
    </row>
    <row r="199" spans="1:28" ht="10.5" customHeight="1" x14ac:dyDescent="0.2">
      <c r="A199" s="200">
        <v>28</v>
      </c>
      <c r="B199" s="190" t="s">
        <v>357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9"/>
        <v>Marcel Wenig</v>
      </c>
    </row>
    <row r="200" spans="1:28" ht="10.5" customHeight="1" x14ac:dyDescent="0.2">
      <c r="A200" s="200">
        <v>30</v>
      </c>
      <c r="B200" s="190" t="s">
        <v>403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9"/>
        <v>Paxton Aaronson (A)</v>
      </c>
    </row>
    <row r="201" spans="1:28" ht="10.5" customHeight="1" x14ac:dyDescent="0.2">
      <c r="A201" s="200">
        <v>37</v>
      </c>
      <c r="B201" s="190" t="s">
        <v>646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Sidney Raebiger</v>
      </c>
    </row>
    <row r="202" spans="1:28" ht="10.5" customHeight="1" x14ac:dyDescent="0.2">
      <c r="A202" s="200">
        <v>44</v>
      </c>
      <c r="B202" s="190" t="s">
        <v>462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Davis Bautista (A)</v>
      </c>
    </row>
    <row r="203" spans="1:28" ht="10.5" customHeight="1" x14ac:dyDescent="0.2">
      <c r="A203" s="200">
        <v>45</v>
      </c>
      <c r="B203" s="190" t="s">
        <v>358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ref="AB203" si="70">B203</f>
        <v>Mehdi Loune</v>
      </c>
    </row>
    <row r="204" spans="1:28" ht="10.5" customHeight="1" x14ac:dyDescent="0.2">
      <c r="A204" s="200">
        <v>49</v>
      </c>
      <c r="B204" s="190" t="s">
        <v>463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1">B204</f>
        <v>Harpreet Ghotra</v>
      </c>
    </row>
    <row r="205" spans="1:28" ht="10.5" customHeight="1" x14ac:dyDescent="0.2">
      <c r="A205" s="201">
        <v>7</v>
      </c>
      <c r="B205" s="195" t="s">
        <v>316</v>
      </c>
      <c r="C205" s="195" t="s">
        <v>3</v>
      </c>
      <c r="D205" s="196" t="s">
        <v>59</v>
      </c>
      <c r="E205" s="196" t="s">
        <v>59</v>
      </c>
      <c r="F205" s="197" t="s">
        <v>59</v>
      </c>
      <c r="G205" s="197" t="s">
        <v>59</v>
      </c>
      <c r="H205" s="197"/>
      <c r="I205" s="19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ref="AB205:AB208" si="72">B205</f>
        <v>Omar Marmoush (A)</v>
      </c>
    </row>
    <row r="206" spans="1:28" ht="10.5" customHeight="1" x14ac:dyDescent="0.2">
      <c r="A206" s="201">
        <v>18</v>
      </c>
      <c r="B206" s="195" t="s">
        <v>225</v>
      </c>
      <c r="C206" s="195" t="s">
        <v>3</v>
      </c>
      <c r="D206" s="196" t="s">
        <v>59</v>
      </c>
      <c r="E206" s="196" t="s">
        <v>59</v>
      </c>
      <c r="F206" s="197" t="s">
        <v>59</v>
      </c>
      <c r="G206" s="197" t="s">
        <v>59</v>
      </c>
      <c r="H206" s="197"/>
      <c r="I206" s="196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" si="73">B206</f>
        <v>Jessic Ngankam</v>
      </c>
    </row>
    <row r="207" spans="1:28" ht="10.5" customHeight="1" x14ac:dyDescent="0.2">
      <c r="A207" s="201">
        <v>21</v>
      </c>
      <c r="B207" s="195" t="s">
        <v>165</v>
      </c>
      <c r="C207" s="195" t="s">
        <v>3</v>
      </c>
      <c r="D207" s="196" t="s">
        <v>59</v>
      </c>
      <c r="E207" s="196" t="s">
        <v>59</v>
      </c>
      <c r="F207" s="197" t="s">
        <v>59</v>
      </c>
      <c r="G207" s="197" t="s">
        <v>59</v>
      </c>
      <c r="H207" s="197"/>
      <c r="I207" s="196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2"/>
        <v>Lucas Alario (A)</v>
      </c>
    </row>
    <row r="208" spans="1:28" ht="10.5" customHeight="1" x14ac:dyDescent="0.2">
      <c r="A208" s="201">
        <v>23</v>
      </c>
      <c r="B208" s="195" t="s">
        <v>464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2"/>
        <v>Jens Petter Hauge</v>
      </c>
    </row>
    <row r="209" spans="1:28" ht="10.5" customHeight="1" x14ac:dyDescent="0.2">
      <c r="A209" s="201">
        <v>36</v>
      </c>
      <c r="B209" s="195" t="s">
        <v>259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1" si="74">B209</f>
        <v>Ansgar Knauff</v>
      </c>
    </row>
    <row r="210" spans="1:28" ht="10.5" customHeight="1" x14ac:dyDescent="0.2">
      <c r="A210" s="201">
        <v>43</v>
      </c>
      <c r="B210" s="195" t="s">
        <v>465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ref="AB210" si="75">B210</f>
        <v>Noel Futkeu</v>
      </c>
    </row>
    <row r="211" spans="1:28" ht="10.5" customHeight="1" x14ac:dyDescent="0.2">
      <c r="A211" s="201">
        <v>48</v>
      </c>
      <c r="B211" s="195" t="s">
        <v>596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4"/>
        <v>Nacho Ferri (A)</v>
      </c>
    </row>
    <row r="212" spans="1:28" ht="15" customHeight="1" thickBot="1" x14ac:dyDescent="0.25">
      <c r="A212" s="219" t="s">
        <v>31</v>
      </c>
      <c r="B212" s="219"/>
      <c r="C212" s="219"/>
      <c r="D212" s="219"/>
      <c r="E212" s="219"/>
      <c r="F212" s="219"/>
      <c r="G212" s="219"/>
      <c r="H212" s="219"/>
      <c r="I212" s="219"/>
      <c r="J212" s="10"/>
      <c r="K212" s="176">
        <v>12</v>
      </c>
      <c r="L212" s="176">
        <v>12</v>
      </c>
      <c r="M212" s="176">
        <v>12</v>
      </c>
      <c r="N212" s="176">
        <v>12</v>
      </c>
      <c r="O212" s="176">
        <v>12</v>
      </c>
      <c r="P212" s="176">
        <v>12</v>
      </c>
      <c r="Q212" s="176">
        <v>12</v>
      </c>
      <c r="R212" s="176">
        <v>12</v>
      </c>
      <c r="S212" s="176">
        <v>12</v>
      </c>
      <c r="T212" s="176">
        <v>12</v>
      </c>
      <c r="U212" s="176">
        <v>12</v>
      </c>
      <c r="V212" s="176">
        <v>12</v>
      </c>
      <c r="W212" s="176">
        <v>12</v>
      </c>
      <c r="X212" s="176">
        <v>12</v>
      </c>
      <c r="Y212" s="176">
        <v>12</v>
      </c>
      <c r="Z212" s="217"/>
      <c r="AB212" s="175" t="str">
        <f>A212</f>
        <v>VfL Wolfsburg</v>
      </c>
    </row>
    <row r="213" spans="1:28" s="113" customFormat="1" ht="10.5" customHeight="1" x14ac:dyDescent="0.2">
      <c r="A213" s="177">
        <v>1</v>
      </c>
      <c r="B213" s="178" t="s">
        <v>101</v>
      </c>
      <c r="C213" s="178" t="s">
        <v>0</v>
      </c>
      <c r="D213" s="179" t="s">
        <v>59</v>
      </c>
      <c r="E213" s="179" t="s">
        <v>59</v>
      </c>
      <c r="F213" s="180" t="s">
        <v>59</v>
      </c>
      <c r="G213" s="180" t="s">
        <v>59</v>
      </c>
      <c r="H213" s="180"/>
      <c r="I213" s="179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72"/>
      <c r="AB213" s="175" t="str">
        <f t="shared" ref="AB213" si="76">B213</f>
        <v>Koen Casteels (A)</v>
      </c>
    </row>
    <row r="214" spans="1:28" s="113" customFormat="1" ht="10.5" customHeight="1" x14ac:dyDescent="0.2">
      <c r="A214" s="177">
        <v>12</v>
      </c>
      <c r="B214" s="178" t="s">
        <v>173</v>
      </c>
      <c r="C214" s="178" t="s">
        <v>0</v>
      </c>
      <c r="D214" s="179" t="s">
        <v>59</v>
      </c>
      <c r="E214" s="179" t="s">
        <v>59</v>
      </c>
      <c r="F214" s="180" t="s">
        <v>59</v>
      </c>
      <c r="G214" s="180" t="s">
        <v>59</v>
      </c>
      <c r="H214" s="180"/>
      <c r="I214" s="179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72"/>
      <c r="AB214" s="175" t="str">
        <f t="shared" ref="AB214:AB216" si="77">B214</f>
        <v>Pavao Pervan (A)</v>
      </c>
    </row>
    <row r="215" spans="1:28" s="113" customFormat="1" ht="10.5" customHeight="1" x14ac:dyDescent="0.2">
      <c r="A215" s="177">
        <v>30</v>
      </c>
      <c r="B215" s="178" t="s">
        <v>189</v>
      </c>
      <c r="C215" s="178" t="s">
        <v>0</v>
      </c>
      <c r="D215" s="179" t="s">
        <v>59</v>
      </c>
      <c r="E215" s="179" t="s">
        <v>59</v>
      </c>
      <c r="F215" s="180" t="s">
        <v>59</v>
      </c>
      <c r="G215" s="180" t="s">
        <v>59</v>
      </c>
      <c r="H215" s="180"/>
      <c r="I215" s="179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72"/>
      <c r="AB215" s="175" t="str">
        <f t="shared" ref="AB215" si="78">B215</f>
        <v>Niklas Klinger</v>
      </c>
    </row>
    <row r="216" spans="1:28" s="113" customFormat="1" ht="10.5" customHeight="1" x14ac:dyDescent="0.2">
      <c r="A216" s="177">
        <v>35</v>
      </c>
      <c r="B216" s="178" t="s">
        <v>274</v>
      </c>
      <c r="C216" s="178" t="s">
        <v>0</v>
      </c>
      <c r="D216" s="179" t="s">
        <v>59</v>
      </c>
      <c r="E216" s="179" t="s">
        <v>59</v>
      </c>
      <c r="F216" s="180" t="s">
        <v>59</v>
      </c>
      <c r="G216" s="180" t="s">
        <v>59</v>
      </c>
      <c r="H216" s="180"/>
      <c r="I216" s="179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72"/>
      <c r="AB216" s="175" t="str">
        <f t="shared" si="77"/>
        <v>Philipp Schulze</v>
      </c>
    </row>
    <row r="217" spans="1:28" s="113" customFormat="1" ht="10.5" customHeight="1" x14ac:dyDescent="0.2">
      <c r="A217" s="198">
        <v>2</v>
      </c>
      <c r="B217" s="199" t="s">
        <v>360</v>
      </c>
      <c r="C217" s="185" t="s">
        <v>1</v>
      </c>
      <c r="D217" s="186" t="s">
        <v>59</v>
      </c>
      <c r="E217" s="186" t="s">
        <v>59</v>
      </c>
      <c r="F217" s="187" t="s">
        <v>59</v>
      </c>
      <c r="G217" s="187" t="s">
        <v>59</v>
      </c>
      <c r="H217" s="187"/>
      <c r="I217" s="18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72"/>
      <c r="AB217" s="175" t="str">
        <f t="shared" ref="AB217" si="79">B217</f>
        <v>Kilian Fischer</v>
      </c>
    </row>
    <row r="218" spans="1:28" s="113" customFormat="1" ht="10.5" customHeight="1" x14ac:dyDescent="0.2">
      <c r="A218" s="198">
        <v>3</v>
      </c>
      <c r="B218" s="199" t="s">
        <v>205</v>
      </c>
      <c r="C218" s="185" t="s">
        <v>1</v>
      </c>
      <c r="D218" s="186" t="s">
        <v>59</v>
      </c>
      <c r="E218" s="186" t="s">
        <v>59</v>
      </c>
      <c r="F218" s="187" t="s">
        <v>59</v>
      </c>
      <c r="G218" s="187" t="s">
        <v>59</v>
      </c>
      <c r="H218" s="187"/>
      <c r="I218" s="18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72"/>
      <c r="AB218" s="175" t="str">
        <f t="shared" ref="AB218:AB223" si="80">B218</f>
        <v>Sebastiaan Bornauw (A)</v>
      </c>
    </row>
    <row r="219" spans="1:28" s="113" customFormat="1" ht="10.5" customHeight="1" x14ac:dyDescent="0.2">
      <c r="A219" s="198">
        <v>4</v>
      </c>
      <c r="B219" s="199" t="s">
        <v>236</v>
      </c>
      <c r="C219" s="185" t="s">
        <v>1</v>
      </c>
      <c r="D219" s="186" t="s">
        <v>59</v>
      </c>
      <c r="E219" s="186" t="s">
        <v>59</v>
      </c>
      <c r="F219" s="187" t="s">
        <v>59</v>
      </c>
      <c r="G219" s="187" t="s">
        <v>59</v>
      </c>
      <c r="H219" s="187"/>
      <c r="I219" s="186"/>
      <c r="J219" s="181"/>
      <c r="K219" s="182"/>
      <c r="L219" s="182"/>
      <c r="M219" s="182"/>
      <c r="N219" s="182"/>
      <c r="O219" s="182">
        <v>2</v>
      </c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si="80"/>
        <v>Maxence Lacroix (A)</v>
      </c>
    </row>
    <row r="220" spans="1:28" s="113" customFormat="1" ht="10.5" customHeight="1" x14ac:dyDescent="0.2">
      <c r="A220" s="198">
        <v>5</v>
      </c>
      <c r="B220" s="199" t="s">
        <v>620</v>
      </c>
      <c r="C220" s="185" t="s">
        <v>1</v>
      </c>
      <c r="D220" s="186" t="s">
        <v>59</v>
      </c>
      <c r="E220" s="186" t="s">
        <v>59</v>
      </c>
      <c r="F220" s="187" t="s">
        <v>59</v>
      </c>
      <c r="G220" s="187" t="s">
        <v>59</v>
      </c>
      <c r="H220" s="187"/>
      <c r="I220" s="18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>B220</f>
        <v>Cédric Zesiger (A)</v>
      </c>
    </row>
    <row r="221" spans="1:28" s="113" customFormat="1" ht="10.5" customHeight="1" x14ac:dyDescent="0.2">
      <c r="A221" s="198">
        <v>8</v>
      </c>
      <c r="B221" s="199" t="s">
        <v>412</v>
      </c>
      <c r="C221" s="185" t="s">
        <v>1</v>
      </c>
      <c r="D221" s="186" t="s">
        <v>59</v>
      </c>
      <c r="E221" s="186" t="s">
        <v>59</v>
      </c>
      <c r="F221" s="187" t="s">
        <v>59</v>
      </c>
      <c r="G221" s="187" t="s">
        <v>59</v>
      </c>
      <c r="H221" s="187"/>
      <c r="I221" s="18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>B221</f>
        <v>Nicolas Cozza (A)</v>
      </c>
    </row>
    <row r="222" spans="1:28" s="113" customFormat="1" ht="10.5" customHeight="1" x14ac:dyDescent="0.2">
      <c r="A222" s="198">
        <v>13</v>
      </c>
      <c r="B222" s="199" t="s">
        <v>619</v>
      </c>
      <c r="C222" s="185" t="s">
        <v>1</v>
      </c>
      <c r="D222" s="186" t="s">
        <v>59</v>
      </c>
      <c r="E222" s="186" t="s">
        <v>59</v>
      </c>
      <c r="F222" s="187" t="s">
        <v>59</v>
      </c>
      <c r="G222" s="187" t="s">
        <v>59</v>
      </c>
      <c r="H222" s="187"/>
      <c r="I222" s="18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80"/>
        <v>Rogério (A)</v>
      </c>
    </row>
    <row r="223" spans="1:28" s="113" customFormat="1" ht="10.5" customHeight="1" x14ac:dyDescent="0.2">
      <c r="A223" s="198">
        <v>21</v>
      </c>
      <c r="B223" s="199" t="s">
        <v>576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80"/>
        <v>Joakim Maehle (A)</v>
      </c>
    </row>
    <row r="224" spans="1:28" s="113" customFormat="1" ht="10.5" customHeight="1" x14ac:dyDescent="0.2">
      <c r="A224" s="198">
        <v>25</v>
      </c>
      <c r="B224" s="199" t="s">
        <v>466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Moritz Jenz (A)</v>
      </c>
    </row>
    <row r="225" spans="1:28" s="113" customFormat="1" ht="10.5" customHeight="1" x14ac:dyDescent="0.2">
      <c r="A225" s="198">
        <v>37</v>
      </c>
      <c r="B225" s="199" t="s">
        <v>393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Felix Lange</v>
      </c>
    </row>
    <row r="226" spans="1:28" s="113" customFormat="1" ht="10.5" customHeight="1" x14ac:dyDescent="0.2">
      <c r="A226" s="200">
        <v>6</v>
      </c>
      <c r="B226" s="190" t="s">
        <v>467</v>
      </c>
      <c r="C226" s="190" t="s">
        <v>2</v>
      </c>
      <c r="D226" s="191" t="s">
        <v>59</v>
      </c>
      <c r="E226" s="191" t="s">
        <v>59</v>
      </c>
      <c r="F226" s="192" t="s">
        <v>59</v>
      </c>
      <c r="G226" s="192" t="s">
        <v>59</v>
      </c>
      <c r="H226" s="192"/>
      <c r="I226" s="191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:AB234" si="83">B226</f>
        <v>Aster Vranckx (A)</v>
      </c>
    </row>
    <row r="227" spans="1:28" s="113" customFormat="1" ht="10.5" customHeight="1" x14ac:dyDescent="0.2">
      <c r="A227" s="200">
        <v>7</v>
      </c>
      <c r="B227" s="190" t="s">
        <v>618</v>
      </c>
      <c r="C227" s="190" t="s">
        <v>2</v>
      </c>
      <c r="D227" s="191" t="s">
        <v>59</v>
      </c>
      <c r="E227" s="191" t="s">
        <v>59</v>
      </c>
      <c r="F227" s="192" t="s">
        <v>59</v>
      </c>
      <c r="G227" s="192" t="s">
        <v>59</v>
      </c>
      <c r="H227" s="192"/>
      <c r="I227" s="191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3" si="84">B227</f>
        <v>Václav Černý (A)</v>
      </c>
    </row>
    <row r="228" spans="1:28" s="113" customFormat="1" ht="10.5" customHeight="1" x14ac:dyDescent="0.2">
      <c r="A228" s="200">
        <v>16</v>
      </c>
      <c r="B228" s="190" t="s">
        <v>361</v>
      </c>
      <c r="C228" s="190" t="s">
        <v>2</v>
      </c>
      <c r="D228" s="191" t="s">
        <v>59</v>
      </c>
      <c r="E228" s="191" t="s">
        <v>59</v>
      </c>
      <c r="F228" s="192" t="s">
        <v>59</v>
      </c>
      <c r="G228" s="192" t="s">
        <v>59</v>
      </c>
      <c r="H228" s="192"/>
      <c r="I228" s="191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Jakub Kaminski (A)</v>
      </c>
    </row>
    <row r="229" spans="1:28" s="113" customFormat="1" ht="10.5" customHeight="1" x14ac:dyDescent="0.2">
      <c r="A229" s="200">
        <v>19</v>
      </c>
      <c r="B229" s="190" t="s">
        <v>591</v>
      </c>
      <c r="C229" s="190" t="s">
        <v>2</v>
      </c>
      <c r="D229" s="191" t="s">
        <v>59</v>
      </c>
      <c r="E229" s="191" t="s">
        <v>59</v>
      </c>
      <c r="F229" s="192" t="s">
        <v>59</v>
      </c>
      <c r="G229" s="192" t="s">
        <v>59</v>
      </c>
      <c r="H229" s="192"/>
      <c r="I229" s="191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5">B229</f>
        <v>Lovro Majer (A)</v>
      </c>
    </row>
    <row r="230" spans="1:28" s="113" customFormat="1" ht="10.5" customHeight="1" x14ac:dyDescent="0.2">
      <c r="A230" s="200">
        <v>20</v>
      </c>
      <c r="B230" s="190" t="s">
        <v>197</v>
      </c>
      <c r="C230" s="190" t="s">
        <v>2</v>
      </c>
      <c r="D230" s="191" t="s">
        <v>59</v>
      </c>
      <c r="E230" s="191" t="s">
        <v>59</v>
      </c>
      <c r="F230" s="192" t="s">
        <v>59</v>
      </c>
      <c r="G230" s="192" t="s">
        <v>59</v>
      </c>
      <c r="H230" s="192"/>
      <c r="I230" s="191"/>
      <c r="J230" s="181"/>
      <c r="K230" s="182"/>
      <c r="L230" s="182"/>
      <c r="M230" s="182"/>
      <c r="N230" s="182"/>
      <c r="O230" s="182">
        <v>7</v>
      </c>
      <c r="P230" s="182">
        <v>7</v>
      </c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si="84"/>
        <v>Ridle Baku</v>
      </c>
    </row>
    <row r="231" spans="1:28" s="113" customFormat="1" ht="10.5" customHeight="1" x14ac:dyDescent="0.2">
      <c r="A231" s="200">
        <v>27</v>
      </c>
      <c r="B231" s="190" t="s">
        <v>108</v>
      </c>
      <c r="C231" s="190" t="s">
        <v>2</v>
      </c>
      <c r="D231" s="191" t="s">
        <v>59</v>
      </c>
      <c r="E231" s="191" t="s">
        <v>59</v>
      </c>
      <c r="F231" s="192" t="s">
        <v>59</v>
      </c>
      <c r="G231" s="192" t="s">
        <v>59</v>
      </c>
      <c r="H231" s="192"/>
      <c r="I231" s="191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Maximilian Arnold</v>
      </c>
    </row>
    <row r="232" spans="1:28" s="113" customFormat="1" ht="10.5" customHeight="1" x14ac:dyDescent="0.2">
      <c r="A232" s="200">
        <v>31</v>
      </c>
      <c r="B232" s="190" t="s">
        <v>174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Yannick Gerhardt</v>
      </c>
    </row>
    <row r="233" spans="1:28" s="113" customFormat="1" ht="10.5" customHeight="1" x14ac:dyDescent="0.2">
      <c r="A233" s="200">
        <v>32</v>
      </c>
      <c r="B233" s="190" t="s">
        <v>362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4"/>
        <v>Mattias Svanberg (A)</v>
      </c>
    </row>
    <row r="234" spans="1:28" s="113" customFormat="1" ht="10.5" customHeight="1" x14ac:dyDescent="0.2">
      <c r="A234" s="200">
        <v>39</v>
      </c>
      <c r="B234" s="190" t="s">
        <v>297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Patrick Wimmer (A)</v>
      </c>
    </row>
    <row r="235" spans="1:28" s="113" customFormat="1" ht="10.5" customHeight="1" x14ac:dyDescent="0.2">
      <c r="A235" s="200">
        <v>40</v>
      </c>
      <c r="B235" s="190" t="s">
        <v>321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36" si="86">B235</f>
        <v>Kevin Paredes (A)</v>
      </c>
    </row>
    <row r="236" spans="1:28" s="113" customFormat="1" ht="10.5" customHeight="1" x14ac:dyDescent="0.2">
      <c r="A236" s="201">
        <v>9</v>
      </c>
      <c r="B236" s="195" t="s">
        <v>647</v>
      </c>
      <c r="C236" s="195" t="s">
        <v>3</v>
      </c>
      <c r="D236" s="196" t="s">
        <v>59</v>
      </c>
      <c r="E236" s="196" t="s">
        <v>59</v>
      </c>
      <c r="F236" s="197" t="s">
        <v>59</v>
      </c>
      <c r="G236" s="197" t="s">
        <v>59</v>
      </c>
      <c r="H236" s="197"/>
      <c r="I236" s="196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6"/>
        <v>Amin Sarr (A)</v>
      </c>
    </row>
    <row r="237" spans="1:28" s="113" customFormat="1" ht="10.5" customHeight="1" x14ac:dyDescent="0.2">
      <c r="A237" s="201">
        <v>10</v>
      </c>
      <c r="B237" s="195" t="s">
        <v>276</v>
      </c>
      <c r="C237" s="195" t="s">
        <v>3</v>
      </c>
      <c r="D237" s="196" t="s">
        <v>59</v>
      </c>
      <c r="E237" s="196" t="s">
        <v>59</v>
      </c>
      <c r="F237" s="197" t="s">
        <v>59</v>
      </c>
      <c r="G237" s="197" t="s">
        <v>59</v>
      </c>
      <c r="H237" s="197"/>
      <c r="I237" s="196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7">B237</f>
        <v>Lukas Nmecha</v>
      </c>
    </row>
    <row r="238" spans="1:28" s="113" customFormat="1" ht="10.5" customHeight="1" x14ac:dyDescent="0.2">
      <c r="A238" s="201">
        <v>11</v>
      </c>
      <c r="B238" s="195" t="s">
        <v>617</v>
      </c>
      <c r="C238" s="195" t="s">
        <v>3</v>
      </c>
      <c r="D238" s="196" t="s">
        <v>59</v>
      </c>
      <c r="E238" s="196" t="s">
        <v>59</v>
      </c>
      <c r="F238" s="197" t="s">
        <v>59</v>
      </c>
      <c r="G238" s="197" t="s">
        <v>59</v>
      </c>
      <c r="H238" s="197"/>
      <c r="I238" s="196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:AB239" si="88">B238</f>
        <v>Tiago Tomás (A)</v>
      </c>
    </row>
    <row r="239" spans="1:28" s="113" customFormat="1" ht="10.5" customHeight="1" x14ac:dyDescent="0.2">
      <c r="A239" s="201">
        <v>18</v>
      </c>
      <c r="B239" s="195" t="s">
        <v>616</v>
      </c>
      <c r="C239" s="195" t="s">
        <v>3</v>
      </c>
      <c r="D239" s="196" t="s">
        <v>59</v>
      </c>
      <c r="E239" s="196" t="s">
        <v>59</v>
      </c>
      <c r="F239" s="197" t="s">
        <v>59</v>
      </c>
      <c r="G239" s="197" t="s">
        <v>59</v>
      </c>
      <c r="H239" s="197"/>
      <c r="I239" s="196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Dženan Pejčinović</v>
      </c>
    </row>
    <row r="240" spans="1:28" s="113" customFormat="1" ht="10.5" customHeight="1" x14ac:dyDescent="0.2">
      <c r="A240" s="201">
        <v>23</v>
      </c>
      <c r="B240" s="195" t="s">
        <v>322</v>
      </c>
      <c r="C240" s="195" t="s">
        <v>3</v>
      </c>
      <c r="D240" s="196" t="s">
        <v>59</v>
      </c>
      <c r="E240" s="196" t="s">
        <v>59</v>
      </c>
      <c r="F240" s="197" t="s">
        <v>59</v>
      </c>
      <c r="G240" s="197" t="s">
        <v>59</v>
      </c>
      <c r="H240" s="197"/>
      <c r="I240" s="196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ref="AB240" si="89">B240</f>
        <v>Jonas Wind (A)</v>
      </c>
    </row>
    <row r="241" spans="1:28" ht="15" customHeight="1" thickBot="1" x14ac:dyDescent="0.25">
      <c r="A241" s="219" t="s">
        <v>114</v>
      </c>
      <c r="B241" s="219"/>
      <c r="C241" s="219"/>
      <c r="D241" s="219"/>
      <c r="E241" s="219"/>
      <c r="F241" s="219"/>
      <c r="G241" s="219"/>
      <c r="H241" s="219"/>
      <c r="I241" s="219"/>
      <c r="J241" s="10"/>
      <c r="K241" s="176">
        <v>12</v>
      </c>
      <c r="L241" s="176">
        <v>12</v>
      </c>
      <c r="M241" s="176">
        <v>12</v>
      </c>
      <c r="N241" s="176">
        <v>12</v>
      </c>
      <c r="O241" s="176">
        <v>12</v>
      </c>
      <c r="P241" s="176">
        <v>12</v>
      </c>
      <c r="Q241" s="176">
        <v>12</v>
      </c>
      <c r="R241" s="176">
        <v>12</v>
      </c>
      <c r="S241" s="176">
        <v>12</v>
      </c>
      <c r="T241" s="176">
        <v>12</v>
      </c>
      <c r="U241" s="176">
        <v>12</v>
      </c>
      <c r="V241" s="176">
        <v>12</v>
      </c>
      <c r="W241" s="176">
        <v>12</v>
      </c>
      <c r="X241" s="176">
        <v>12</v>
      </c>
      <c r="Y241" s="176">
        <v>12</v>
      </c>
      <c r="Z241" s="217"/>
      <c r="AB241" s="175" t="str">
        <f>A241</f>
        <v>1. FSV Mainz</v>
      </c>
    </row>
    <row r="242" spans="1:28" ht="10.5" customHeight="1" x14ac:dyDescent="0.2">
      <c r="A242" s="177">
        <v>1</v>
      </c>
      <c r="B242" s="178" t="s">
        <v>291</v>
      </c>
      <c r="C242" s="178" t="s">
        <v>0</v>
      </c>
      <c r="D242" s="179" t="s">
        <v>59</v>
      </c>
      <c r="E242" s="179" t="s">
        <v>59</v>
      </c>
      <c r="F242" s="180" t="s">
        <v>59</v>
      </c>
      <c r="G242" s="180" t="s">
        <v>59</v>
      </c>
      <c r="H242" s="180"/>
      <c r="I242" s="179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AB242" s="175" t="str">
        <f t="shared" ref="AB242" si="90">B242</f>
        <v>Lasse Riess</v>
      </c>
    </row>
    <row r="243" spans="1:28" ht="10.5" customHeight="1" x14ac:dyDescent="0.2">
      <c r="A243" s="177">
        <v>27</v>
      </c>
      <c r="B243" s="178" t="s">
        <v>169</v>
      </c>
      <c r="C243" s="178" t="s">
        <v>0</v>
      </c>
      <c r="D243" s="179" t="s">
        <v>59</v>
      </c>
      <c r="E243" s="179" t="s">
        <v>59</v>
      </c>
      <c r="F243" s="180" t="s">
        <v>59</v>
      </c>
      <c r="G243" s="180" t="s">
        <v>59</v>
      </c>
      <c r="H243" s="180"/>
      <c r="I243" s="179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AB243" s="175" t="str">
        <f t="shared" ref="AB243:AB245" si="91">B243</f>
        <v>Robin Zentner</v>
      </c>
    </row>
    <row r="244" spans="1:28" ht="10.5" customHeight="1" x14ac:dyDescent="0.2">
      <c r="A244" s="177">
        <v>33</v>
      </c>
      <c r="B244" s="178" t="s">
        <v>468</v>
      </c>
      <c r="C244" s="178" t="s">
        <v>0</v>
      </c>
      <c r="D244" s="179" t="s">
        <v>59</v>
      </c>
      <c r="E244" s="179" t="s">
        <v>59</v>
      </c>
      <c r="F244" s="180" t="s">
        <v>59</v>
      </c>
      <c r="G244" s="180" t="s">
        <v>59</v>
      </c>
      <c r="H244" s="180"/>
      <c r="I244" s="179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AB244" s="175" t="str">
        <f t="shared" si="91"/>
        <v>Daniel Batz</v>
      </c>
    </row>
    <row r="245" spans="1:28" ht="10.5" customHeight="1" x14ac:dyDescent="0.2">
      <c r="A245" s="198">
        <v>2</v>
      </c>
      <c r="B245" s="199" t="s">
        <v>636</v>
      </c>
      <c r="C245" s="185" t="s">
        <v>1</v>
      </c>
      <c r="D245" s="186" t="s">
        <v>59</v>
      </c>
      <c r="E245" s="186" t="s">
        <v>59</v>
      </c>
      <c r="F245" s="187" t="s">
        <v>59</v>
      </c>
      <c r="G245" s="187" t="s">
        <v>59</v>
      </c>
      <c r="H245" s="187"/>
      <c r="I245" s="18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AB245" s="175" t="str">
        <f t="shared" si="91"/>
        <v>Philipp Mwene (A)</v>
      </c>
    </row>
    <row r="246" spans="1:28" ht="10.5" customHeight="1" x14ac:dyDescent="0.2">
      <c r="A246" s="198">
        <v>3</v>
      </c>
      <c r="B246" s="199" t="s">
        <v>394</v>
      </c>
      <c r="C246" s="185" t="s">
        <v>1</v>
      </c>
      <c r="D246" s="186" t="s">
        <v>59</v>
      </c>
      <c r="E246" s="186" t="s">
        <v>59</v>
      </c>
      <c r="F246" s="187" t="s">
        <v>59</v>
      </c>
      <c r="G246" s="187" t="s">
        <v>59</v>
      </c>
      <c r="H246" s="187"/>
      <c r="I246" s="18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AB246" s="175" t="str">
        <f t="shared" ref="AB246" si="92">B246</f>
        <v>Sepp van den Berg (A)</v>
      </c>
    </row>
    <row r="247" spans="1:28" ht="10.5" customHeight="1" x14ac:dyDescent="0.2">
      <c r="A247" s="198">
        <v>5</v>
      </c>
      <c r="B247" s="199" t="s">
        <v>308</v>
      </c>
      <c r="C247" s="185" t="s">
        <v>1</v>
      </c>
      <c r="D247" s="186" t="s">
        <v>59</v>
      </c>
      <c r="E247" s="186" t="s">
        <v>59</v>
      </c>
      <c r="F247" s="187" t="s">
        <v>59</v>
      </c>
      <c r="G247" s="187" t="s">
        <v>59</v>
      </c>
      <c r="H247" s="187"/>
      <c r="I247" s="18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AB247" s="175" t="str">
        <f t="shared" ref="AB247:AB253" si="93">B247</f>
        <v>Maxim Leitsch</v>
      </c>
    </row>
    <row r="248" spans="1:28" ht="10.5" customHeight="1" x14ac:dyDescent="0.2">
      <c r="A248" s="198">
        <v>16</v>
      </c>
      <c r="B248" s="199" t="s">
        <v>107</v>
      </c>
      <c r="C248" s="185" t="s">
        <v>1</v>
      </c>
      <c r="D248" s="186" t="s">
        <v>59</v>
      </c>
      <c r="E248" s="186" t="s">
        <v>59</v>
      </c>
      <c r="F248" s="187" t="s">
        <v>59</v>
      </c>
      <c r="G248" s="187" t="s">
        <v>59</v>
      </c>
      <c r="H248" s="187"/>
      <c r="I248" s="18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si="93"/>
        <v>Stefan Bell</v>
      </c>
    </row>
    <row r="249" spans="1:28" ht="10.5" customHeight="1" x14ac:dyDescent="0.2">
      <c r="A249" s="198">
        <v>19</v>
      </c>
      <c r="B249" s="199" t="s">
        <v>349</v>
      </c>
      <c r="C249" s="185" t="s">
        <v>1</v>
      </c>
      <c r="D249" s="186" t="s">
        <v>59</v>
      </c>
      <c r="E249" s="186" t="s">
        <v>59</v>
      </c>
      <c r="F249" s="187" t="s">
        <v>59</v>
      </c>
      <c r="G249" s="187" t="s">
        <v>59</v>
      </c>
      <c r="H249" s="187"/>
      <c r="I249" s="18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si="93"/>
        <v>Anthony Caci (A)</v>
      </c>
    </row>
    <row r="250" spans="1:28" ht="10.5" customHeight="1" x14ac:dyDescent="0.2">
      <c r="A250" s="198">
        <v>20</v>
      </c>
      <c r="B250" s="199" t="s">
        <v>350</v>
      </c>
      <c r="C250" s="185" t="s">
        <v>1</v>
      </c>
      <c r="D250" s="186" t="s">
        <v>59</v>
      </c>
      <c r="E250" s="186" t="s">
        <v>59</v>
      </c>
      <c r="F250" s="187" t="s">
        <v>59</v>
      </c>
      <c r="G250" s="187" t="s">
        <v>59</v>
      </c>
      <c r="H250" s="187"/>
      <c r="I250" s="18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3"/>
        <v>Edimilson Fernandes (A)</v>
      </c>
    </row>
    <row r="251" spans="1:28" ht="10.5" customHeight="1" x14ac:dyDescent="0.2">
      <c r="A251" s="198">
        <v>21</v>
      </c>
      <c r="B251" s="199" t="s">
        <v>127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4">B251</f>
        <v>Danny da Costa</v>
      </c>
    </row>
    <row r="252" spans="1:28" ht="10.5" customHeight="1" x14ac:dyDescent="0.2">
      <c r="A252" s="198">
        <v>25</v>
      </c>
      <c r="B252" s="199" t="s">
        <v>420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si="93"/>
        <v>Andreas Hanche-Olsen (A)</v>
      </c>
    </row>
    <row r="253" spans="1:28" ht="10.5" customHeight="1" x14ac:dyDescent="0.2">
      <c r="A253" s="198">
        <v>30</v>
      </c>
      <c r="B253" s="199" t="s">
        <v>292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3"/>
        <v>Silvan Widmer (A)</v>
      </c>
    </row>
    <row r="254" spans="1:28" ht="10.5" customHeight="1" x14ac:dyDescent="0.2">
      <c r="A254" s="200">
        <v>4</v>
      </c>
      <c r="B254" s="190" t="s">
        <v>239</v>
      </c>
      <c r="C254" s="190" t="s">
        <v>2</v>
      </c>
      <c r="D254" s="191" t="s">
        <v>59</v>
      </c>
      <c r="E254" s="191" t="s">
        <v>59</v>
      </c>
      <c r="F254" s="192" t="s">
        <v>59</v>
      </c>
      <c r="G254" s="192" t="s">
        <v>59</v>
      </c>
      <c r="H254" s="192"/>
      <c r="I254" s="191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Aymen Barkok</v>
      </c>
    </row>
    <row r="255" spans="1:28" ht="10.5" customHeight="1" x14ac:dyDescent="0.2">
      <c r="A255" s="200">
        <v>7</v>
      </c>
      <c r="B255" s="190" t="s">
        <v>294</v>
      </c>
      <c r="C255" s="190" t="s">
        <v>2</v>
      </c>
      <c r="D255" s="191" t="s">
        <v>59</v>
      </c>
      <c r="E255" s="191" t="s">
        <v>59</v>
      </c>
      <c r="F255" s="192" t="s">
        <v>59</v>
      </c>
      <c r="G255" s="192" t="s">
        <v>59</v>
      </c>
      <c r="H255" s="192"/>
      <c r="I255" s="191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9" si="96">B255</f>
        <v>Jae-Sung Lee</v>
      </c>
    </row>
    <row r="256" spans="1:28" ht="10.5" customHeight="1" x14ac:dyDescent="0.2">
      <c r="A256" s="200">
        <v>8</v>
      </c>
      <c r="B256" s="190" t="s">
        <v>223</v>
      </c>
      <c r="C256" s="190" t="s">
        <v>2</v>
      </c>
      <c r="D256" s="191" t="s">
        <v>59</v>
      </c>
      <c r="E256" s="191" t="s">
        <v>59</v>
      </c>
      <c r="F256" s="192" t="s">
        <v>59</v>
      </c>
      <c r="G256" s="192" t="s">
        <v>59</v>
      </c>
      <c r="H256" s="192"/>
      <c r="I256" s="191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Leandro Barreiro (A)</v>
      </c>
    </row>
    <row r="257" spans="1:28" ht="10.5" customHeight="1" x14ac:dyDescent="0.2">
      <c r="A257" s="200">
        <v>10</v>
      </c>
      <c r="B257" s="190" t="s">
        <v>598</v>
      </c>
      <c r="C257" s="190" t="s">
        <v>2</v>
      </c>
      <c r="D257" s="191" t="s">
        <v>59</v>
      </c>
      <c r="E257" s="191" t="s">
        <v>59</v>
      </c>
      <c r="F257" s="192" t="s">
        <v>59</v>
      </c>
      <c r="G257" s="192" t="s">
        <v>59</v>
      </c>
      <c r="H257" s="192"/>
      <c r="I257" s="191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" si="97">B257</f>
        <v>Marco Richter</v>
      </c>
    </row>
    <row r="258" spans="1:28" ht="10.5" customHeight="1" x14ac:dyDescent="0.2">
      <c r="A258" s="200">
        <v>14</v>
      </c>
      <c r="B258" s="190" t="s">
        <v>371</v>
      </c>
      <c r="C258" s="190" t="s">
        <v>2</v>
      </c>
      <c r="D258" s="191" t="s">
        <v>59</v>
      </c>
      <c r="E258" s="191" t="s">
        <v>59</v>
      </c>
      <c r="F258" s="192" t="s">
        <v>59</v>
      </c>
      <c r="G258" s="192" t="s">
        <v>59</v>
      </c>
      <c r="H258" s="192"/>
      <c r="I258" s="191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6"/>
        <v>Tom Krauss</v>
      </c>
    </row>
    <row r="259" spans="1:28" ht="10.5" customHeight="1" x14ac:dyDescent="0.2">
      <c r="A259" s="200">
        <v>24</v>
      </c>
      <c r="B259" s="190" t="s">
        <v>597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6"/>
        <v>Merveille Papela</v>
      </c>
    </row>
    <row r="260" spans="1:28" ht="10.5" customHeight="1" x14ac:dyDescent="0.2">
      <c r="A260" s="200">
        <v>31</v>
      </c>
      <c r="B260" s="190" t="s">
        <v>110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2" si="98">B260</f>
        <v>Dominik Kohr</v>
      </c>
    </row>
    <row r="261" spans="1:28" ht="10.5" customHeight="1" x14ac:dyDescent="0.2">
      <c r="A261" s="200">
        <v>41</v>
      </c>
      <c r="B261" s="190" t="s">
        <v>324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Eniss Shabani</v>
      </c>
    </row>
    <row r="262" spans="1:28" ht="10.5" customHeight="1" x14ac:dyDescent="0.2">
      <c r="A262" s="200">
        <v>45</v>
      </c>
      <c r="B262" s="190" t="s">
        <v>579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David Mamutovic</v>
      </c>
    </row>
    <row r="263" spans="1:28" ht="10.5" customHeight="1" x14ac:dyDescent="0.2">
      <c r="A263" s="201">
        <v>9</v>
      </c>
      <c r="B263" s="195" t="s">
        <v>135</v>
      </c>
      <c r="C263" s="195" t="s">
        <v>3</v>
      </c>
      <c r="D263" s="196" t="s">
        <v>59</v>
      </c>
      <c r="E263" s="196" t="s">
        <v>59</v>
      </c>
      <c r="F263" s="197" t="s">
        <v>59</v>
      </c>
      <c r="G263" s="197" t="s">
        <v>59</v>
      </c>
      <c r="H263" s="197"/>
      <c r="I263" s="19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>B263</f>
        <v>Karim Onisiwo (A)</v>
      </c>
    </row>
    <row r="264" spans="1:28" ht="10.5" customHeight="1" x14ac:dyDescent="0.2">
      <c r="A264" s="201">
        <v>17</v>
      </c>
      <c r="B264" s="195" t="s">
        <v>411</v>
      </c>
      <c r="C264" s="195" t="s">
        <v>3</v>
      </c>
      <c r="D264" s="196" t="s">
        <v>59</v>
      </c>
      <c r="E264" s="196" t="s">
        <v>59</v>
      </c>
      <c r="F264" s="197" t="s">
        <v>59</v>
      </c>
      <c r="G264" s="197" t="s">
        <v>59</v>
      </c>
      <c r="H264" s="197"/>
      <c r="I264" s="19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8" si="99">B264</f>
        <v>Ludovic Ajorque (A)</v>
      </c>
    </row>
    <row r="265" spans="1:28" ht="10.5" customHeight="1" x14ac:dyDescent="0.2">
      <c r="A265" s="201">
        <v>29</v>
      </c>
      <c r="B265" s="195" t="s">
        <v>198</v>
      </c>
      <c r="C265" s="195" t="s">
        <v>3</v>
      </c>
      <c r="D265" s="196" t="s">
        <v>59</v>
      </c>
      <c r="E265" s="196" t="s">
        <v>59</v>
      </c>
      <c r="F265" s="197" t="s">
        <v>59</v>
      </c>
      <c r="G265" s="197" t="s">
        <v>59</v>
      </c>
      <c r="H265" s="197"/>
      <c r="I265" s="19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100">B265</f>
        <v>Jonathan Burkardt</v>
      </c>
    </row>
    <row r="266" spans="1:28" ht="10.5" customHeight="1" x14ac:dyDescent="0.2">
      <c r="A266" s="201">
        <v>34</v>
      </c>
      <c r="B266" s="195" t="s">
        <v>655</v>
      </c>
      <c r="C266" s="195" t="s">
        <v>3</v>
      </c>
      <c r="D266" s="196" t="s">
        <v>59</v>
      </c>
      <c r="E266" s="196" t="s">
        <v>59</v>
      </c>
      <c r="F266" s="197" t="s">
        <v>59</v>
      </c>
      <c r="G266" s="197" t="s">
        <v>59</v>
      </c>
      <c r="H266" s="197"/>
      <c r="I266" s="19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100"/>
        <v>Anwar El Ghazi (A)</v>
      </c>
    </row>
    <row r="267" spans="1:28" ht="10.5" customHeight="1" x14ac:dyDescent="0.2">
      <c r="A267" s="201">
        <v>43</v>
      </c>
      <c r="B267" s="195" t="s">
        <v>414</v>
      </c>
      <c r="C267" s="195" t="s">
        <v>3</v>
      </c>
      <c r="D267" s="196" t="s">
        <v>59</v>
      </c>
      <c r="E267" s="196" t="s">
        <v>59</v>
      </c>
      <c r="F267" s="197" t="s">
        <v>59</v>
      </c>
      <c r="G267" s="197" t="s">
        <v>59</v>
      </c>
      <c r="H267" s="197"/>
      <c r="I267" s="196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9"/>
        <v>Brajan Gruda</v>
      </c>
    </row>
    <row r="268" spans="1:28" ht="10.5" customHeight="1" x14ac:dyDescent="0.2">
      <c r="A268" s="201">
        <v>44</v>
      </c>
      <c r="B268" s="195" t="s">
        <v>399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99"/>
        <v>Nelson Weiper</v>
      </c>
    </row>
    <row r="269" spans="1:28" ht="15" customHeight="1" thickBot="1" x14ac:dyDescent="0.25">
      <c r="A269" s="220" t="s">
        <v>69</v>
      </c>
      <c r="B269" s="220"/>
      <c r="C269" s="220"/>
      <c r="D269" s="220"/>
      <c r="E269" s="220"/>
      <c r="F269" s="220"/>
      <c r="G269" s="220"/>
      <c r="H269" s="220"/>
      <c r="I269" s="220"/>
      <c r="J269" s="10"/>
      <c r="K269" s="176">
        <v>12</v>
      </c>
      <c r="L269" s="176">
        <v>12</v>
      </c>
      <c r="M269" s="176">
        <v>12</v>
      </c>
      <c r="N269" s="176">
        <v>12</v>
      </c>
      <c r="O269" s="176">
        <v>12</v>
      </c>
      <c r="P269" s="176">
        <v>12</v>
      </c>
      <c r="Q269" s="176">
        <v>12</v>
      </c>
      <c r="R269" s="176">
        <v>12</v>
      </c>
      <c r="S269" s="176">
        <v>12</v>
      </c>
      <c r="T269" s="176">
        <v>12</v>
      </c>
      <c r="U269" s="176"/>
      <c r="V269" s="176">
        <v>12</v>
      </c>
      <c r="W269" s="176">
        <v>12</v>
      </c>
      <c r="X269" s="176">
        <v>12</v>
      </c>
      <c r="Y269" s="176">
        <v>12</v>
      </c>
      <c r="Z269" s="217"/>
      <c r="AB269" s="175" t="str">
        <f>A269</f>
        <v>Bor. M'gladbach</v>
      </c>
    </row>
    <row r="270" spans="1:28" ht="10.5" customHeight="1" x14ac:dyDescent="0.2">
      <c r="A270" s="177">
        <v>1</v>
      </c>
      <c r="B270" s="178" t="s">
        <v>406</v>
      </c>
      <c r="C270" s="178" t="s">
        <v>0</v>
      </c>
      <c r="D270" s="179" t="s">
        <v>59</v>
      </c>
      <c r="E270" s="179" t="s">
        <v>59</v>
      </c>
      <c r="F270" s="180" t="s">
        <v>59</v>
      </c>
      <c r="G270" s="180" t="s">
        <v>59</v>
      </c>
      <c r="H270" s="180"/>
      <c r="I270" s="179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87" si="101">B270</f>
        <v>Jonas Omlin (A)</v>
      </c>
    </row>
    <row r="271" spans="1:28" ht="10.5" customHeight="1" x14ac:dyDescent="0.2">
      <c r="A271" s="177">
        <v>21</v>
      </c>
      <c r="B271" s="178" t="s">
        <v>124</v>
      </c>
      <c r="C271" s="178" t="s">
        <v>0</v>
      </c>
      <c r="D271" s="179" t="s">
        <v>59</v>
      </c>
      <c r="E271" s="179" t="s">
        <v>59</v>
      </c>
      <c r="F271" s="180" t="s">
        <v>59</v>
      </c>
      <c r="G271" s="180" t="s">
        <v>59</v>
      </c>
      <c r="H271" s="180"/>
      <c r="I271" s="179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4" si="102">B271</f>
        <v>Tobias Sippel</v>
      </c>
    </row>
    <row r="272" spans="1:28" ht="10.5" customHeight="1" x14ac:dyDescent="0.2">
      <c r="A272" s="177">
        <v>33</v>
      </c>
      <c r="B272" s="178" t="s">
        <v>469</v>
      </c>
      <c r="C272" s="178" t="s">
        <v>0</v>
      </c>
      <c r="D272" s="179" t="s">
        <v>59</v>
      </c>
      <c r="E272" s="179" t="s">
        <v>59</v>
      </c>
      <c r="F272" s="180" t="s">
        <v>59</v>
      </c>
      <c r="G272" s="180" t="s">
        <v>59</v>
      </c>
      <c r="H272" s="180"/>
      <c r="I272" s="179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2"/>
        <v>Moritz Nicolas</v>
      </c>
    </row>
    <row r="273" spans="1:28" ht="10.5" customHeight="1" x14ac:dyDescent="0.2">
      <c r="A273" s="177">
        <v>41</v>
      </c>
      <c r="B273" s="178" t="s">
        <v>234</v>
      </c>
      <c r="C273" s="178" t="s">
        <v>0</v>
      </c>
      <c r="D273" s="179" t="s">
        <v>59</v>
      </c>
      <c r="E273" s="179" t="s">
        <v>59</v>
      </c>
      <c r="F273" s="180" t="s">
        <v>59</v>
      </c>
      <c r="G273" s="180" t="s">
        <v>59</v>
      </c>
      <c r="H273" s="180"/>
      <c r="I273" s="179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103">B273</f>
        <v>Jan Olschowsky</v>
      </c>
    </row>
    <row r="274" spans="1:28" ht="10.5" customHeight="1" x14ac:dyDescent="0.2">
      <c r="A274" s="177">
        <v>43</v>
      </c>
      <c r="B274" s="178" t="s">
        <v>470</v>
      </c>
      <c r="C274" s="178" t="s">
        <v>0</v>
      </c>
      <c r="D274" s="179" t="s">
        <v>59</v>
      </c>
      <c r="E274" s="179" t="s">
        <v>59</v>
      </c>
      <c r="F274" s="180" t="s">
        <v>59</v>
      </c>
      <c r="G274" s="180" t="s">
        <v>59</v>
      </c>
      <c r="H274" s="180"/>
      <c r="I274" s="179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2"/>
        <v>Max Brüll</v>
      </c>
    </row>
    <row r="275" spans="1:28" ht="10.5" customHeight="1" x14ac:dyDescent="0.2">
      <c r="A275" s="198">
        <v>2</v>
      </c>
      <c r="B275" s="199" t="s">
        <v>381</v>
      </c>
      <c r="C275" s="185" t="s">
        <v>1</v>
      </c>
      <c r="D275" s="186" t="s">
        <v>59</v>
      </c>
      <c r="E275" s="186" t="s">
        <v>59</v>
      </c>
      <c r="F275" s="187" t="s">
        <v>59</v>
      </c>
      <c r="G275" s="187" t="s">
        <v>59</v>
      </c>
      <c r="H275" s="187"/>
      <c r="I275" s="18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Fabio Chiarodia</v>
      </c>
    </row>
    <row r="276" spans="1:28" ht="10.5" customHeight="1" x14ac:dyDescent="0.2">
      <c r="A276" s="198">
        <v>3</v>
      </c>
      <c r="B276" s="199" t="s">
        <v>353</v>
      </c>
      <c r="C276" s="185" t="s">
        <v>1</v>
      </c>
      <c r="D276" s="186" t="s">
        <v>59</v>
      </c>
      <c r="E276" s="186" t="s">
        <v>59</v>
      </c>
      <c r="F276" s="187" t="s">
        <v>59</v>
      </c>
      <c r="G276" s="187" t="s">
        <v>59</v>
      </c>
      <c r="H276" s="187"/>
      <c r="I276" s="18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si="104"/>
        <v>Ko Itakura (A)</v>
      </c>
    </row>
    <row r="277" spans="1:28" ht="10.5" customHeight="1" x14ac:dyDescent="0.2">
      <c r="A277" s="198">
        <v>5</v>
      </c>
      <c r="B277" s="199" t="s">
        <v>209</v>
      </c>
      <c r="C277" s="185" t="s">
        <v>1</v>
      </c>
      <c r="D277" s="186" t="s">
        <v>59</v>
      </c>
      <c r="E277" s="186" t="s">
        <v>59</v>
      </c>
      <c r="F277" s="187" t="s">
        <v>59</v>
      </c>
      <c r="G277" s="187" t="s">
        <v>59</v>
      </c>
      <c r="H277" s="187"/>
      <c r="I277" s="18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4"/>
        <v>Marvin Friedrich</v>
      </c>
    </row>
    <row r="278" spans="1:28" ht="10.5" customHeight="1" x14ac:dyDescent="0.2">
      <c r="A278" s="198">
        <v>18</v>
      </c>
      <c r="B278" s="199" t="s">
        <v>188</v>
      </c>
      <c r="C278" s="185" t="s">
        <v>1</v>
      </c>
      <c r="D278" s="186" t="s">
        <v>59</v>
      </c>
      <c r="E278" s="186" t="s">
        <v>59</v>
      </c>
      <c r="F278" s="187" t="s">
        <v>59</v>
      </c>
      <c r="G278" s="187" t="s">
        <v>59</v>
      </c>
      <c r="H278" s="187"/>
      <c r="I278" s="18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Stefan Lainer (A)</v>
      </c>
    </row>
    <row r="279" spans="1:28" ht="10.5" customHeight="1" x14ac:dyDescent="0.2">
      <c r="A279" s="198">
        <v>20</v>
      </c>
      <c r="B279" s="199" t="s">
        <v>227</v>
      </c>
      <c r="C279" s="185" t="s">
        <v>1</v>
      </c>
      <c r="D279" s="186" t="s">
        <v>59</v>
      </c>
      <c r="E279" s="186" t="s">
        <v>59</v>
      </c>
      <c r="F279" s="187" t="s">
        <v>59</v>
      </c>
      <c r="G279" s="187" t="s">
        <v>59</v>
      </c>
      <c r="H279" s="187"/>
      <c r="I279" s="18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4"/>
        <v>Luca Netz</v>
      </c>
    </row>
    <row r="280" spans="1:28" ht="10.5" customHeight="1" x14ac:dyDescent="0.2">
      <c r="A280" s="198">
        <v>24</v>
      </c>
      <c r="B280" s="199" t="s">
        <v>82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Tony Jantschke</v>
      </c>
    </row>
    <row r="281" spans="1:28" ht="10.5" customHeight="1" x14ac:dyDescent="0.2">
      <c r="A281" s="198">
        <v>26</v>
      </c>
      <c r="B281" s="199" t="s">
        <v>471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ref="AB281:AB285" si="105">B281</f>
        <v>Lukas Ullrich</v>
      </c>
    </row>
    <row r="282" spans="1:28" ht="10.5" customHeight="1" x14ac:dyDescent="0.2">
      <c r="A282" s="198">
        <v>29</v>
      </c>
      <c r="B282" s="199" t="s">
        <v>261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5"/>
        <v>Joe Scally (A)</v>
      </c>
    </row>
    <row r="283" spans="1:28" ht="10.5" customHeight="1" x14ac:dyDescent="0.2">
      <c r="A283" s="198">
        <v>30</v>
      </c>
      <c r="B283" s="199" t="s">
        <v>125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>
        <v>3</v>
      </c>
      <c r="T283" s="182"/>
      <c r="U283" s="182"/>
      <c r="V283" s="182"/>
      <c r="W283" s="182"/>
      <c r="X283" s="182"/>
      <c r="Y283" s="182"/>
      <c r="AB283" s="175" t="str">
        <f t="shared" si="105"/>
        <v>Nico Elvedi (A)</v>
      </c>
    </row>
    <row r="284" spans="1:28" ht="10.5" customHeight="1" x14ac:dyDescent="0.2">
      <c r="A284" s="198">
        <v>39</v>
      </c>
      <c r="B284" s="199" t="s">
        <v>472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5"/>
        <v>Maximilian Wöber (A)</v>
      </c>
    </row>
    <row r="285" spans="1:28" ht="10.5" customHeight="1" x14ac:dyDescent="0.2">
      <c r="A285" s="198">
        <v>45</v>
      </c>
      <c r="B285" s="199" t="s">
        <v>473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5"/>
        <v>Simon Walde</v>
      </c>
    </row>
    <row r="286" spans="1:28" ht="10.5" customHeight="1" x14ac:dyDescent="0.2">
      <c r="A286" s="200">
        <v>8</v>
      </c>
      <c r="B286" s="190" t="s">
        <v>392</v>
      </c>
      <c r="C286" s="190" t="s">
        <v>2</v>
      </c>
      <c r="D286" s="191" t="s">
        <v>59</v>
      </c>
      <c r="E286" s="191" t="s">
        <v>59</v>
      </c>
      <c r="F286" s="192" t="s">
        <v>59</v>
      </c>
      <c r="G286" s="192" t="s">
        <v>59</v>
      </c>
      <c r="H286" s="192"/>
      <c r="I286" s="191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1"/>
        <v>Julian Weigl</v>
      </c>
    </row>
    <row r="287" spans="1:28" ht="10.5" customHeight="1" x14ac:dyDescent="0.2">
      <c r="A287" s="200">
        <v>9</v>
      </c>
      <c r="B287" s="190" t="s">
        <v>474</v>
      </c>
      <c r="C287" s="190" t="s">
        <v>2</v>
      </c>
      <c r="D287" s="191" t="s">
        <v>59</v>
      </c>
      <c r="E287" s="191" t="s">
        <v>59</v>
      </c>
      <c r="F287" s="192" t="s">
        <v>59</v>
      </c>
      <c r="G287" s="192" t="s">
        <v>59</v>
      </c>
      <c r="H287" s="192"/>
      <c r="I287" s="191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1"/>
        <v>Franck Honorat (A)</v>
      </c>
    </row>
    <row r="288" spans="1:28" ht="10.5" customHeight="1" x14ac:dyDescent="0.2">
      <c r="A288" s="200">
        <v>10</v>
      </c>
      <c r="B288" s="190" t="s">
        <v>166</v>
      </c>
      <c r="C288" s="190" t="s">
        <v>2</v>
      </c>
      <c r="D288" s="191" t="s">
        <v>59</v>
      </c>
      <c r="E288" s="191" t="s">
        <v>59</v>
      </c>
      <c r="F288" s="192" t="s">
        <v>59</v>
      </c>
      <c r="G288" s="192" t="s">
        <v>59</v>
      </c>
      <c r="H288" s="192"/>
      <c r="I288" s="191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>B288</f>
        <v>Florian Neuhaus</v>
      </c>
    </row>
    <row r="289" spans="1:28" ht="10.5" customHeight="1" x14ac:dyDescent="0.2">
      <c r="A289" s="200">
        <v>11</v>
      </c>
      <c r="B289" s="190" t="s">
        <v>354</v>
      </c>
      <c r="C289" s="190" t="s">
        <v>2</v>
      </c>
      <c r="D289" s="191" t="s">
        <v>59</v>
      </c>
      <c r="E289" s="191" t="s">
        <v>59</v>
      </c>
      <c r="F289" s="192" t="s">
        <v>59</v>
      </c>
      <c r="G289" s="192" t="s">
        <v>59</v>
      </c>
      <c r="H289" s="192"/>
      <c r="I289" s="191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ref="AB289:AB292" si="106">B289</f>
        <v>Hannes Wolf (A)</v>
      </c>
    </row>
    <row r="290" spans="1:28" ht="10.5" customHeight="1" x14ac:dyDescent="0.2">
      <c r="A290" s="200">
        <v>17</v>
      </c>
      <c r="B290" s="190" t="s">
        <v>622</v>
      </c>
      <c r="C290" s="190" t="s">
        <v>2</v>
      </c>
      <c r="D290" s="191" t="s">
        <v>59</v>
      </c>
      <c r="E290" s="191" t="s">
        <v>59</v>
      </c>
      <c r="F290" s="192" t="s">
        <v>59</v>
      </c>
      <c r="G290" s="192" t="s">
        <v>59</v>
      </c>
      <c r="H290" s="192"/>
      <c r="I290" s="191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6"/>
        <v>Manu Koné (A)</v>
      </c>
    </row>
    <row r="291" spans="1:28" ht="10.5" customHeight="1" x14ac:dyDescent="0.2">
      <c r="A291" s="200">
        <v>19</v>
      </c>
      <c r="B291" s="190" t="s">
        <v>391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6"/>
        <v>Nathan Ngoumou (A)</v>
      </c>
    </row>
    <row r="292" spans="1:28" ht="10.5" customHeight="1" x14ac:dyDescent="0.2">
      <c r="A292" s="200">
        <v>23</v>
      </c>
      <c r="B292" s="190" t="s">
        <v>113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6"/>
        <v>Christoph Kramer</v>
      </c>
    </row>
    <row r="293" spans="1:28" ht="10.5" customHeight="1" x14ac:dyDescent="0.2">
      <c r="A293" s="200">
        <v>25</v>
      </c>
      <c r="B293" s="190" t="s">
        <v>475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4" si="107">B293</f>
        <v>Robin Hack</v>
      </c>
    </row>
    <row r="294" spans="1:28" ht="10.5" customHeight="1" x14ac:dyDescent="0.2">
      <c r="A294" s="200">
        <v>27</v>
      </c>
      <c r="B294" s="190" t="s">
        <v>476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7"/>
        <v>Rocco Reitz</v>
      </c>
    </row>
    <row r="295" spans="1:28" ht="10.5" customHeight="1" x14ac:dyDescent="0.2">
      <c r="A295" s="201">
        <v>7</v>
      </c>
      <c r="B295" s="195" t="s">
        <v>91</v>
      </c>
      <c r="C295" s="195" t="s">
        <v>3</v>
      </c>
      <c r="D295" s="196" t="s">
        <v>59</v>
      </c>
      <c r="E295" s="196" t="s">
        <v>59</v>
      </c>
      <c r="F295" s="197" t="s">
        <v>59</v>
      </c>
      <c r="G295" s="197" t="s">
        <v>59</v>
      </c>
      <c r="H295" s="197"/>
      <c r="I295" s="19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>B295</f>
        <v>Patrick Herrmann</v>
      </c>
    </row>
    <row r="296" spans="1:28" ht="10.5" customHeight="1" x14ac:dyDescent="0.2">
      <c r="A296" s="201">
        <v>13</v>
      </c>
      <c r="B296" s="195" t="s">
        <v>343</v>
      </c>
      <c r="C296" s="195" t="s">
        <v>3</v>
      </c>
      <c r="D296" s="196" t="s">
        <v>59</v>
      </c>
      <c r="E296" s="196" t="s">
        <v>59</v>
      </c>
      <c r="F296" s="197" t="s">
        <v>59</v>
      </c>
      <c r="G296" s="197" t="s">
        <v>59</v>
      </c>
      <c r="H296" s="197"/>
      <c r="I296" s="19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" si="108">B296</f>
        <v>Jordan Siebatcheu (A)</v>
      </c>
    </row>
    <row r="297" spans="1:28" ht="10.5" customHeight="1" x14ac:dyDescent="0.2">
      <c r="A297" s="201">
        <v>14</v>
      </c>
      <c r="B297" s="195" t="s">
        <v>167</v>
      </c>
      <c r="C297" s="195" t="s">
        <v>3</v>
      </c>
      <c r="D297" s="196" t="s">
        <v>59</v>
      </c>
      <c r="E297" s="196" t="s">
        <v>59</v>
      </c>
      <c r="F297" s="197" t="s">
        <v>59</v>
      </c>
      <c r="G297" s="197" t="s">
        <v>59</v>
      </c>
      <c r="H297" s="197"/>
      <c r="I297" s="19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ref="AB297:AB300" si="109">B297</f>
        <v>Alassane Plea (A)</v>
      </c>
    </row>
    <row r="298" spans="1:28" ht="10.5" customHeight="1" x14ac:dyDescent="0.2">
      <c r="A298" s="201">
        <v>28</v>
      </c>
      <c r="B298" s="195" t="s">
        <v>477</v>
      </c>
      <c r="C298" s="195" t="s">
        <v>3</v>
      </c>
      <c r="D298" s="196" t="s">
        <v>59</v>
      </c>
      <c r="E298" s="196" t="s">
        <v>59</v>
      </c>
      <c r="F298" s="197" t="s">
        <v>59</v>
      </c>
      <c r="G298" s="197" t="s">
        <v>59</v>
      </c>
      <c r="H298" s="197"/>
      <c r="I298" s="19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10">B298</f>
        <v>Grant-Leon Ranos</v>
      </c>
    </row>
    <row r="299" spans="1:28" ht="10.5" customHeight="1" x14ac:dyDescent="0.2">
      <c r="A299" s="201">
        <v>31</v>
      </c>
      <c r="B299" s="195" t="s">
        <v>621</v>
      </c>
      <c r="C299" s="195" t="s">
        <v>3</v>
      </c>
      <c r="D299" s="196" t="s">
        <v>59</v>
      </c>
      <c r="E299" s="196" t="s">
        <v>59</v>
      </c>
      <c r="F299" s="197" t="s">
        <v>59</v>
      </c>
      <c r="G299" s="197" t="s">
        <v>59</v>
      </c>
      <c r="H299" s="197"/>
      <c r="I299" s="19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9"/>
        <v>Tomáš Čvančara (A)</v>
      </c>
    </row>
    <row r="300" spans="1:28" ht="10.5" customHeight="1" x14ac:dyDescent="0.2">
      <c r="A300" s="201">
        <v>38</v>
      </c>
      <c r="B300" s="195" t="s">
        <v>355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09"/>
        <v>Yvandro Borges Sanches (A)</v>
      </c>
    </row>
    <row r="301" spans="1:28" ht="15" customHeight="1" thickBot="1" x14ac:dyDescent="0.25">
      <c r="A301" s="219" t="s">
        <v>183</v>
      </c>
      <c r="B301" s="219"/>
      <c r="C301" s="219"/>
      <c r="D301" s="219"/>
      <c r="E301" s="219"/>
      <c r="F301" s="219"/>
      <c r="G301" s="219"/>
      <c r="H301" s="219"/>
      <c r="I301" s="219"/>
      <c r="J301" s="10"/>
      <c r="K301" s="176">
        <v>12</v>
      </c>
      <c r="L301" s="176">
        <v>12</v>
      </c>
      <c r="M301" s="176">
        <v>12</v>
      </c>
      <c r="N301" s="176">
        <v>12</v>
      </c>
      <c r="O301" s="176">
        <v>12</v>
      </c>
      <c r="P301" s="176">
        <v>12</v>
      </c>
      <c r="Q301" s="176">
        <v>12</v>
      </c>
      <c r="R301" s="176">
        <v>12</v>
      </c>
      <c r="S301" s="176">
        <v>12</v>
      </c>
      <c r="T301" s="176">
        <v>12</v>
      </c>
      <c r="U301" s="176">
        <v>12</v>
      </c>
      <c r="V301" s="176">
        <v>12</v>
      </c>
      <c r="W301" s="176">
        <v>12</v>
      </c>
      <c r="X301" s="176">
        <v>12</v>
      </c>
      <c r="Y301" s="176">
        <v>12</v>
      </c>
      <c r="Z301" s="217"/>
      <c r="AB301" s="175" t="str">
        <f>A301</f>
        <v>1.FC Köln</v>
      </c>
    </row>
    <row r="302" spans="1:28" ht="10.5" customHeight="1" x14ac:dyDescent="0.2">
      <c r="A302" s="177">
        <v>1</v>
      </c>
      <c r="B302" s="178" t="s">
        <v>298</v>
      </c>
      <c r="C302" s="178" t="s">
        <v>0</v>
      </c>
      <c r="D302" s="179" t="s">
        <v>59</v>
      </c>
      <c r="E302" s="179" t="s">
        <v>59</v>
      </c>
      <c r="F302" s="180" t="s">
        <v>59</v>
      </c>
      <c r="G302" s="180" t="s">
        <v>59</v>
      </c>
      <c r="H302" s="180"/>
      <c r="I302" s="179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:AB316" si="111">B302</f>
        <v>Marvin Schwäbe</v>
      </c>
    </row>
    <row r="303" spans="1:28" ht="10.5" customHeight="1" x14ac:dyDescent="0.2">
      <c r="A303" s="177">
        <v>12</v>
      </c>
      <c r="B303" s="178" t="s">
        <v>478</v>
      </c>
      <c r="C303" s="178" t="s">
        <v>0</v>
      </c>
      <c r="D303" s="179" t="s">
        <v>59</v>
      </c>
      <c r="E303" s="179" t="s">
        <v>59</v>
      </c>
      <c r="F303" s="180" t="s">
        <v>59</v>
      </c>
      <c r="G303" s="180" t="s">
        <v>59</v>
      </c>
      <c r="H303" s="180"/>
      <c r="I303" s="179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1"/>
        <v>Jonas Nickisch</v>
      </c>
    </row>
    <row r="304" spans="1:28" ht="10.5" customHeight="1" x14ac:dyDescent="0.2">
      <c r="A304" s="177">
        <v>20</v>
      </c>
      <c r="B304" s="178" t="s">
        <v>193</v>
      </c>
      <c r="C304" s="178" t="s">
        <v>0</v>
      </c>
      <c r="D304" s="179" t="s">
        <v>59</v>
      </c>
      <c r="E304" s="179" t="s">
        <v>59</v>
      </c>
      <c r="F304" s="180" t="s">
        <v>59</v>
      </c>
      <c r="G304" s="180" t="s">
        <v>59</v>
      </c>
      <c r="H304" s="180"/>
      <c r="I304" s="179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5" si="112">B304</f>
        <v>Philipp Pentke</v>
      </c>
    </row>
    <row r="305" spans="1:28" ht="10.5" customHeight="1" x14ac:dyDescent="0.2">
      <c r="A305" s="177">
        <v>44</v>
      </c>
      <c r="B305" s="178" t="s">
        <v>479</v>
      </c>
      <c r="C305" s="178" t="s">
        <v>0</v>
      </c>
      <c r="D305" s="179" t="s">
        <v>59</v>
      </c>
      <c r="E305" s="179" t="s">
        <v>59</v>
      </c>
      <c r="F305" s="180" t="s">
        <v>59</v>
      </c>
      <c r="G305" s="180" t="s">
        <v>59</v>
      </c>
      <c r="H305" s="180"/>
      <c r="I305" s="179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2"/>
        <v>Matthias Köbbing</v>
      </c>
    </row>
    <row r="306" spans="1:28" s="113" customFormat="1" ht="10.5" customHeight="1" x14ac:dyDescent="0.2">
      <c r="A306" s="198">
        <v>2</v>
      </c>
      <c r="B306" s="199" t="s">
        <v>204</v>
      </c>
      <c r="C306" s="185" t="s">
        <v>1</v>
      </c>
      <c r="D306" s="186" t="s">
        <v>59</v>
      </c>
      <c r="E306" s="186" t="s">
        <v>59</v>
      </c>
      <c r="F306" s="187" t="s">
        <v>59</v>
      </c>
      <c r="G306" s="187" t="s">
        <v>59</v>
      </c>
      <c r="H306" s="187"/>
      <c r="I306" s="186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72"/>
      <c r="AB306" s="175" t="str">
        <f t="shared" si="111"/>
        <v>Benno Schmitz</v>
      </c>
    </row>
    <row r="307" spans="1:28" s="113" customFormat="1" ht="10.5" customHeight="1" x14ac:dyDescent="0.2">
      <c r="A307" s="198">
        <v>3</v>
      </c>
      <c r="B307" s="199" t="s">
        <v>170</v>
      </c>
      <c r="C307" s="185" t="s">
        <v>1</v>
      </c>
      <c r="D307" s="186" t="s">
        <v>59</v>
      </c>
      <c r="E307" s="186" t="s">
        <v>59</v>
      </c>
      <c r="F307" s="187" t="s">
        <v>59</v>
      </c>
      <c r="G307" s="187" t="s">
        <v>59</v>
      </c>
      <c r="H307" s="187"/>
      <c r="I307" s="18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72"/>
      <c r="AB307" s="175" t="str">
        <f t="shared" si="111"/>
        <v>Dominique Heintz</v>
      </c>
    </row>
    <row r="308" spans="1:28" s="113" customFormat="1" ht="10.5" customHeight="1" x14ac:dyDescent="0.2">
      <c r="A308" s="198">
        <v>4</v>
      </c>
      <c r="B308" s="199" t="s">
        <v>299</v>
      </c>
      <c r="C308" s="185" t="s">
        <v>1</v>
      </c>
      <c r="D308" s="186" t="s">
        <v>59</v>
      </c>
      <c r="E308" s="186" t="s">
        <v>59</v>
      </c>
      <c r="F308" s="187" t="s">
        <v>59</v>
      </c>
      <c r="G308" s="187" t="s">
        <v>59</v>
      </c>
      <c r="H308" s="187"/>
      <c r="I308" s="18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72"/>
      <c r="AB308" s="175" t="str">
        <f t="shared" si="111"/>
        <v>Timo Hübers</v>
      </c>
    </row>
    <row r="309" spans="1:28" s="113" customFormat="1" ht="10.5" customHeight="1" x14ac:dyDescent="0.2">
      <c r="A309" s="198">
        <v>15</v>
      </c>
      <c r="B309" s="199" t="s">
        <v>207</v>
      </c>
      <c r="C309" s="185" t="s">
        <v>1</v>
      </c>
      <c r="D309" s="186" t="s">
        <v>59</v>
      </c>
      <c r="E309" s="186" t="s">
        <v>59</v>
      </c>
      <c r="F309" s="187" t="s">
        <v>59</v>
      </c>
      <c r="G309" s="187" t="s">
        <v>59</v>
      </c>
      <c r="H309" s="187"/>
      <c r="I309" s="18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72"/>
      <c r="AB309" s="175" t="str">
        <f t="shared" ref="AB309:AB315" si="113">B309</f>
        <v>Luca Kilian</v>
      </c>
    </row>
    <row r="310" spans="1:28" s="113" customFormat="1" ht="10.5" customHeight="1" x14ac:dyDescent="0.2">
      <c r="A310" s="198">
        <v>17</v>
      </c>
      <c r="B310" s="199" t="s">
        <v>480</v>
      </c>
      <c r="C310" s="185" t="s">
        <v>1</v>
      </c>
      <c r="D310" s="186" t="s">
        <v>59</v>
      </c>
      <c r="E310" s="186" t="s">
        <v>59</v>
      </c>
      <c r="F310" s="187" t="s">
        <v>59</v>
      </c>
      <c r="G310" s="187" t="s">
        <v>59</v>
      </c>
      <c r="H310" s="187"/>
      <c r="I310" s="18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72"/>
      <c r="AB310" s="175" t="str">
        <f t="shared" si="113"/>
        <v>Leart Paqarada</v>
      </c>
    </row>
    <row r="311" spans="1:28" s="113" customFormat="1" ht="10.5" customHeight="1" x14ac:dyDescent="0.2">
      <c r="A311" s="198">
        <v>18</v>
      </c>
      <c r="B311" s="199" t="s">
        <v>481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3"/>
        <v>Rasmus Carstensen (A)</v>
      </c>
    </row>
    <row r="312" spans="1:28" s="113" customFormat="1" ht="10.5" customHeight="1" x14ac:dyDescent="0.2">
      <c r="A312" s="198">
        <v>24</v>
      </c>
      <c r="B312" s="199" t="s">
        <v>320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3"/>
        <v>Jeff Chabot</v>
      </c>
    </row>
    <row r="313" spans="1:28" s="113" customFormat="1" ht="10.5" customHeight="1" x14ac:dyDescent="0.2">
      <c r="A313" s="198">
        <v>30</v>
      </c>
      <c r="B313" s="199" t="s">
        <v>482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3"/>
        <v>Noah Katterbach</v>
      </c>
    </row>
    <row r="314" spans="1:28" s="113" customFormat="1" ht="10.5" customHeight="1" x14ac:dyDescent="0.2">
      <c r="A314" s="198">
        <v>35</v>
      </c>
      <c r="B314" s="199" t="s">
        <v>587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3"/>
        <v>Max Finkgräfe</v>
      </c>
    </row>
    <row r="315" spans="1:28" s="113" customFormat="1" ht="10.5" customHeight="1" x14ac:dyDescent="0.2">
      <c r="A315" s="198">
        <v>38</v>
      </c>
      <c r="B315" s="199" t="s">
        <v>483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Elias Bakatukanda</v>
      </c>
    </row>
    <row r="316" spans="1:28" ht="10.5" customHeight="1" x14ac:dyDescent="0.2">
      <c r="A316" s="200">
        <v>6</v>
      </c>
      <c r="B316" s="190" t="s">
        <v>345</v>
      </c>
      <c r="C316" s="190" t="s">
        <v>2</v>
      </c>
      <c r="D316" s="191" t="s">
        <v>59</v>
      </c>
      <c r="E316" s="191" t="s">
        <v>59</v>
      </c>
      <c r="F316" s="192" t="s">
        <v>59</v>
      </c>
      <c r="G316" s="192" t="s">
        <v>59</v>
      </c>
      <c r="H316" s="192"/>
      <c r="I316" s="191"/>
      <c r="J316" s="181"/>
      <c r="K316" s="182"/>
      <c r="L316" s="182"/>
      <c r="M316" s="182">
        <v>7</v>
      </c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1"/>
        <v>Eric Martel</v>
      </c>
    </row>
    <row r="317" spans="1:28" ht="10.5" customHeight="1" x14ac:dyDescent="0.2">
      <c r="A317" s="200">
        <v>7</v>
      </c>
      <c r="B317" s="190" t="s">
        <v>301</v>
      </c>
      <c r="C317" s="190" t="s">
        <v>2</v>
      </c>
      <c r="D317" s="191" t="s">
        <v>59</v>
      </c>
      <c r="E317" s="191" t="s">
        <v>59</v>
      </c>
      <c r="F317" s="192" t="s">
        <v>59</v>
      </c>
      <c r="G317" s="192" t="s">
        <v>59</v>
      </c>
      <c r="H317" s="192"/>
      <c r="I317" s="191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ref="AB317:AB325" si="114">B317</f>
        <v>Dejan Ljubicic (A)</v>
      </c>
    </row>
    <row r="318" spans="1:28" ht="10.5" customHeight="1" x14ac:dyDescent="0.2">
      <c r="A318" s="200">
        <v>8</v>
      </c>
      <c r="B318" s="190" t="s">
        <v>623</v>
      </c>
      <c r="C318" s="190" t="s">
        <v>2</v>
      </c>
      <c r="D318" s="191" t="s">
        <v>59</v>
      </c>
      <c r="E318" s="191" t="s">
        <v>59</v>
      </c>
      <c r="F318" s="192" t="s">
        <v>59</v>
      </c>
      <c r="G318" s="192" t="s">
        <v>59</v>
      </c>
      <c r="H318" s="192"/>
      <c r="I318" s="191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si="114"/>
        <v>Denis Huseinbašić</v>
      </c>
    </row>
    <row r="319" spans="1:28" ht="10.5" customHeight="1" x14ac:dyDescent="0.2">
      <c r="A319" s="200">
        <v>11</v>
      </c>
      <c r="B319" s="190" t="s">
        <v>140</v>
      </c>
      <c r="C319" s="190" t="s">
        <v>2</v>
      </c>
      <c r="D319" s="191" t="s">
        <v>59</v>
      </c>
      <c r="E319" s="191" t="s">
        <v>59</v>
      </c>
      <c r="F319" s="192" t="s">
        <v>59</v>
      </c>
      <c r="G319" s="192" t="s">
        <v>59</v>
      </c>
      <c r="H319" s="192"/>
      <c r="I319" s="191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14"/>
        <v>Florian Kainz (A)</v>
      </c>
    </row>
    <row r="320" spans="1:28" ht="10.5" customHeight="1" x14ac:dyDescent="0.2">
      <c r="A320" s="200">
        <v>19</v>
      </c>
      <c r="B320" s="190" t="s">
        <v>484</v>
      </c>
      <c r="C320" s="190" t="s">
        <v>2</v>
      </c>
      <c r="D320" s="191" t="s">
        <v>59</v>
      </c>
      <c r="E320" s="191" t="s">
        <v>59</v>
      </c>
      <c r="F320" s="192" t="s">
        <v>59</v>
      </c>
      <c r="G320" s="192" t="s">
        <v>59</v>
      </c>
      <c r="H320" s="192"/>
      <c r="I320" s="191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AB320" s="175" t="str">
        <f t="shared" si="114"/>
        <v>Dimitrios Limnios (A)</v>
      </c>
    </row>
    <row r="321" spans="1:28" ht="10.5" customHeight="1" x14ac:dyDescent="0.2">
      <c r="A321" s="200">
        <v>22</v>
      </c>
      <c r="B321" s="190" t="s">
        <v>485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4"/>
        <v>Jacob Christensen (A)</v>
      </c>
    </row>
    <row r="322" spans="1:28" ht="10.5" customHeight="1" x14ac:dyDescent="0.2">
      <c r="A322" s="200">
        <v>29</v>
      </c>
      <c r="B322" s="190" t="s">
        <v>219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>
        <v>6</v>
      </c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si="114"/>
        <v>Jan Thielmann</v>
      </c>
    </row>
    <row r="323" spans="1:28" ht="10.5" customHeight="1" x14ac:dyDescent="0.2">
      <c r="A323" s="200">
        <v>37</v>
      </c>
      <c r="B323" s="190" t="s">
        <v>346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4"/>
        <v>Linton Maina</v>
      </c>
    </row>
    <row r="324" spans="1:28" ht="10.5" customHeight="1" x14ac:dyDescent="0.2">
      <c r="A324" s="200">
        <v>40</v>
      </c>
      <c r="B324" s="190" t="s">
        <v>359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ref="AB324" si="115">B324</f>
        <v>Faride Alidou</v>
      </c>
    </row>
    <row r="325" spans="1:28" ht="10.5" customHeight="1" x14ac:dyDescent="0.2">
      <c r="A325" s="200">
        <v>47</v>
      </c>
      <c r="B325" s="190" t="s">
        <v>319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4"/>
        <v>Mathias Olesen (A)</v>
      </c>
    </row>
    <row r="326" spans="1:28" ht="10.5" customHeight="1" x14ac:dyDescent="0.2">
      <c r="A326" s="201">
        <v>9</v>
      </c>
      <c r="B326" s="195" t="s">
        <v>486</v>
      </c>
      <c r="C326" s="195" t="s">
        <v>3</v>
      </c>
      <c r="D326" s="196" t="s">
        <v>59</v>
      </c>
      <c r="E326" s="196" t="s">
        <v>59</v>
      </c>
      <c r="F326" s="197" t="s">
        <v>59</v>
      </c>
      <c r="G326" s="197" t="s">
        <v>59</v>
      </c>
      <c r="H326" s="197"/>
      <c r="I326" s="19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ref="AB326" si="116">B326</f>
        <v>Luca Waldschmidt</v>
      </c>
    </row>
    <row r="327" spans="1:28" ht="10.5" customHeight="1" x14ac:dyDescent="0.2">
      <c r="A327" s="201">
        <v>13</v>
      </c>
      <c r="B327" s="195" t="s">
        <v>302</v>
      </c>
      <c r="C327" s="195" t="s">
        <v>3</v>
      </c>
      <c r="D327" s="196" t="s">
        <v>59</v>
      </c>
      <c r="E327" s="196" t="s">
        <v>59</v>
      </c>
      <c r="F327" s="197" t="s">
        <v>59</v>
      </c>
      <c r="G327" s="197" t="s">
        <v>59</v>
      </c>
      <c r="H327" s="197"/>
      <c r="I327" s="19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ref="AB327:AB331" si="117">B327</f>
        <v>Mark Uth</v>
      </c>
    </row>
    <row r="328" spans="1:28" ht="10.5" customHeight="1" x14ac:dyDescent="0.2">
      <c r="A328" s="201">
        <v>21</v>
      </c>
      <c r="B328" s="195" t="s">
        <v>260</v>
      </c>
      <c r="C328" s="195" t="s">
        <v>3</v>
      </c>
      <c r="D328" s="196" t="s">
        <v>59</v>
      </c>
      <c r="E328" s="196" t="s">
        <v>59</v>
      </c>
      <c r="F328" s="197" t="s">
        <v>59</v>
      </c>
      <c r="G328" s="197" t="s">
        <v>59</v>
      </c>
      <c r="H328" s="197"/>
      <c r="I328" s="19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7"/>
        <v>Steffen Tigges</v>
      </c>
    </row>
    <row r="329" spans="1:28" ht="10.5" customHeight="1" x14ac:dyDescent="0.2">
      <c r="A329" s="201">
        <v>23</v>
      </c>
      <c r="B329" s="195" t="s">
        <v>347</v>
      </c>
      <c r="C329" s="195" t="s">
        <v>3</v>
      </c>
      <c r="D329" s="196" t="s">
        <v>59</v>
      </c>
      <c r="E329" s="196" t="s">
        <v>59</v>
      </c>
      <c r="F329" s="197" t="s">
        <v>59</v>
      </c>
      <c r="G329" s="197" t="s">
        <v>59</v>
      </c>
      <c r="H329" s="197"/>
      <c r="I329" s="196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7"/>
        <v>Sargis Adamyan (A)</v>
      </c>
    </row>
    <row r="330" spans="1:28" ht="10.5" customHeight="1" x14ac:dyDescent="0.2">
      <c r="A330" s="201">
        <v>27</v>
      </c>
      <c r="B330" s="195" t="s">
        <v>136</v>
      </c>
      <c r="C330" s="195" t="s">
        <v>3</v>
      </c>
      <c r="D330" s="196" t="s">
        <v>59</v>
      </c>
      <c r="E330" s="196" t="s">
        <v>59</v>
      </c>
      <c r="F330" s="197" t="s">
        <v>59</v>
      </c>
      <c r="G330" s="197" t="s">
        <v>59</v>
      </c>
      <c r="H330" s="197"/>
      <c r="I330" s="196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7"/>
        <v>Davie Selke</v>
      </c>
    </row>
    <row r="331" spans="1:28" ht="10.5" customHeight="1" x14ac:dyDescent="0.2">
      <c r="A331" s="201">
        <v>33</v>
      </c>
      <c r="B331" s="195" t="s">
        <v>348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7"/>
        <v>Florian Dietz</v>
      </c>
    </row>
    <row r="332" spans="1:28" ht="10.5" customHeight="1" x14ac:dyDescent="0.2">
      <c r="A332" s="201">
        <v>42</v>
      </c>
      <c r="B332" s="195" t="s">
        <v>657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" si="118">B332</f>
        <v>Damian Downs</v>
      </c>
    </row>
    <row r="333" spans="1:28" ht="15" customHeight="1" thickBot="1" x14ac:dyDescent="0.25">
      <c r="A333" s="219" t="s">
        <v>122</v>
      </c>
      <c r="B333" s="219"/>
      <c r="C333" s="219"/>
      <c r="D333" s="219"/>
      <c r="E333" s="219"/>
      <c r="F333" s="219"/>
      <c r="G333" s="219"/>
      <c r="H333" s="219"/>
      <c r="I333" s="219"/>
      <c r="J333" s="10"/>
      <c r="K333" s="176">
        <v>12</v>
      </c>
      <c r="L333" s="176">
        <v>12</v>
      </c>
      <c r="M333" s="176">
        <v>12</v>
      </c>
      <c r="N333" s="176">
        <v>12</v>
      </c>
      <c r="O333" s="176">
        <v>12</v>
      </c>
      <c r="P333" s="176">
        <v>12</v>
      </c>
      <c r="Q333" s="176">
        <v>12</v>
      </c>
      <c r="R333" s="176">
        <v>12</v>
      </c>
      <c r="S333" s="176">
        <v>12</v>
      </c>
      <c r="T333" s="176">
        <v>12</v>
      </c>
      <c r="U333" s="176">
        <v>12</v>
      </c>
      <c r="V333" s="176">
        <v>12</v>
      </c>
      <c r="W333" s="176">
        <v>12</v>
      </c>
      <c r="X333" s="176">
        <v>12</v>
      </c>
      <c r="Y333" s="176">
        <v>12</v>
      </c>
      <c r="Z333" s="217"/>
      <c r="AB333" s="175" t="str">
        <f>A333</f>
        <v xml:space="preserve"> TSG 1899 Hoffenheim</v>
      </c>
    </row>
    <row r="334" spans="1:28" s="113" customFormat="1" ht="10.5" customHeight="1" x14ac:dyDescent="0.2">
      <c r="A334" s="177">
        <v>1</v>
      </c>
      <c r="B334" s="178" t="s">
        <v>86</v>
      </c>
      <c r="C334" s="178" t="s">
        <v>0</v>
      </c>
      <c r="D334" s="179" t="s">
        <v>59</v>
      </c>
      <c r="E334" s="179" t="s">
        <v>59</v>
      </c>
      <c r="F334" s="180" t="s">
        <v>59</v>
      </c>
      <c r="G334" s="180" t="s">
        <v>59</v>
      </c>
      <c r="H334" s="180"/>
      <c r="I334" s="179"/>
      <c r="J334" s="181"/>
      <c r="K334" s="182">
        <v>1</v>
      </c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72"/>
      <c r="AB334" s="175" t="str">
        <f t="shared" ref="AB334" si="119">B334</f>
        <v>Oliver Baumann</v>
      </c>
    </row>
    <row r="335" spans="1:28" s="113" customFormat="1" ht="10.5" customHeight="1" x14ac:dyDescent="0.2">
      <c r="A335" s="177">
        <v>36</v>
      </c>
      <c r="B335" s="178" t="s">
        <v>290</v>
      </c>
      <c r="C335" s="178" t="s">
        <v>0</v>
      </c>
      <c r="D335" s="179" t="s">
        <v>59</v>
      </c>
      <c r="E335" s="179" t="s">
        <v>59</v>
      </c>
      <c r="F335" s="180" t="s">
        <v>59</v>
      </c>
      <c r="G335" s="180" t="s">
        <v>59</v>
      </c>
      <c r="H335" s="180"/>
      <c r="I335" s="179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72"/>
      <c r="AB335" s="175" t="str">
        <f t="shared" ref="AB335:AB336" si="120">B335</f>
        <v>Nahuell Noll</v>
      </c>
    </row>
    <row r="336" spans="1:28" s="113" customFormat="1" ht="10.5" customHeight="1" x14ac:dyDescent="0.2">
      <c r="A336" s="177">
        <v>37</v>
      </c>
      <c r="B336" s="178" t="s">
        <v>235</v>
      </c>
      <c r="C336" s="178" t="s">
        <v>0</v>
      </c>
      <c r="D336" s="179" t="s">
        <v>59</v>
      </c>
      <c r="E336" s="179" t="s">
        <v>59</v>
      </c>
      <c r="F336" s="180" t="s">
        <v>59</v>
      </c>
      <c r="G336" s="180" t="s">
        <v>59</v>
      </c>
      <c r="H336" s="180"/>
      <c r="I336" s="179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72"/>
      <c r="AB336" s="175" t="str">
        <f t="shared" si="120"/>
        <v>Luca Philipp</v>
      </c>
    </row>
    <row r="337" spans="1:28" s="113" customFormat="1" ht="10.5" customHeight="1" x14ac:dyDescent="0.2">
      <c r="A337" s="198">
        <v>3</v>
      </c>
      <c r="B337" s="199" t="s">
        <v>160</v>
      </c>
      <c r="C337" s="185" t="s">
        <v>1</v>
      </c>
      <c r="D337" s="186" t="s">
        <v>59</v>
      </c>
      <c r="E337" s="186" t="s">
        <v>59</v>
      </c>
      <c r="F337" s="187" t="s">
        <v>59</v>
      </c>
      <c r="G337" s="187" t="s">
        <v>59</v>
      </c>
      <c r="H337" s="187"/>
      <c r="I337" s="18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72"/>
      <c r="AB337" s="175" t="str">
        <f t="shared" ref="AB337:AB345" si="121">B337</f>
        <v>Pavel Kaderábek (A)</v>
      </c>
    </row>
    <row r="338" spans="1:28" s="113" customFormat="1" ht="10.5" customHeight="1" x14ac:dyDescent="0.2">
      <c r="A338" s="198">
        <v>5</v>
      </c>
      <c r="B338" s="199" t="s">
        <v>351</v>
      </c>
      <c r="C338" s="185" t="s">
        <v>1</v>
      </c>
      <c r="D338" s="186" t="s">
        <v>59</v>
      </c>
      <c r="E338" s="186" t="s">
        <v>59</v>
      </c>
      <c r="F338" s="187" t="s">
        <v>59</v>
      </c>
      <c r="G338" s="187" t="s">
        <v>59</v>
      </c>
      <c r="H338" s="187"/>
      <c r="I338" s="18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si="121"/>
        <v>Ozan Kabak (A)</v>
      </c>
    </row>
    <row r="339" spans="1:28" s="113" customFormat="1" ht="10.5" customHeight="1" x14ac:dyDescent="0.2">
      <c r="A339" s="198">
        <v>15</v>
      </c>
      <c r="B339" s="199" t="s">
        <v>487</v>
      </c>
      <c r="C339" s="185" t="s">
        <v>1</v>
      </c>
      <c r="D339" s="186" t="s">
        <v>59</v>
      </c>
      <c r="E339" s="186" t="s">
        <v>59</v>
      </c>
      <c r="F339" s="187" t="s">
        <v>59</v>
      </c>
      <c r="G339" s="187" t="s">
        <v>59</v>
      </c>
      <c r="H339" s="187"/>
      <c r="I339" s="18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si="121"/>
        <v>Kasim Adams (A)</v>
      </c>
    </row>
    <row r="340" spans="1:28" s="113" customFormat="1" ht="10.5" customHeight="1" x14ac:dyDescent="0.2">
      <c r="A340" s="198">
        <v>22</v>
      </c>
      <c r="B340" s="199" t="s">
        <v>112</v>
      </c>
      <c r="C340" s="185" t="s">
        <v>1</v>
      </c>
      <c r="D340" s="186" t="s">
        <v>59</v>
      </c>
      <c r="E340" s="186" t="s">
        <v>59</v>
      </c>
      <c r="F340" s="187" t="s">
        <v>59</v>
      </c>
      <c r="G340" s="187" t="s">
        <v>59</v>
      </c>
      <c r="H340" s="187"/>
      <c r="I340" s="186"/>
      <c r="J340" s="181"/>
      <c r="K340" s="182"/>
      <c r="L340" s="182"/>
      <c r="M340" s="182"/>
      <c r="N340" s="182"/>
      <c r="O340" s="182"/>
      <c r="P340" s="182"/>
      <c r="Q340" s="182">
        <v>4</v>
      </c>
      <c r="R340" s="182">
        <v>4</v>
      </c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22">B340</f>
        <v>Kevin Vogt</v>
      </c>
    </row>
    <row r="341" spans="1:28" s="113" customFormat="1" ht="10.5" customHeight="1" x14ac:dyDescent="0.2">
      <c r="A341" s="198">
        <v>23</v>
      </c>
      <c r="B341" s="199" t="s">
        <v>415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si="121"/>
        <v>John Anthony Brooks</v>
      </c>
    </row>
    <row r="342" spans="1:28" s="113" customFormat="1" ht="10.5" customHeight="1" x14ac:dyDescent="0.2">
      <c r="A342" s="198">
        <v>25</v>
      </c>
      <c r="B342" s="199" t="s">
        <v>159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ref="AB342" si="123">B342</f>
        <v>Kevin Akpoguma</v>
      </c>
    </row>
    <row r="343" spans="1:28" s="113" customFormat="1" ht="10.5" customHeight="1" x14ac:dyDescent="0.2">
      <c r="A343" s="198">
        <v>34</v>
      </c>
      <c r="B343" s="199" t="s">
        <v>387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1"/>
        <v>Stanley Nsoki (A)</v>
      </c>
    </row>
    <row r="344" spans="1:28" s="113" customFormat="1" ht="10.5" customHeight="1" x14ac:dyDescent="0.2">
      <c r="A344" s="198">
        <v>41</v>
      </c>
      <c r="B344" s="199" t="s">
        <v>488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4">B344</f>
        <v>Attila Szalai (A)</v>
      </c>
    </row>
    <row r="345" spans="1:28" s="113" customFormat="1" ht="10.5" customHeight="1" x14ac:dyDescent="0.2">
      <c r="A345" s="198">
        <v>48</v>
      </c>
      <c r="B345" s="199" t="s">
        <v>648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Joshua Quarshie</v>
      </c>
    </row>
    <row r="346" spans="1:28" s="113" customFormat="1" ht="10.5" customHeight="1" x14ac:dyDescent="0.2">
      <c r="A346" s="200">
        <v>6</v>
      </c>
      <c r="B346" s="190" t="s">
        <v>213</v>
      </c>
      <c r="C346" s="190" t="s">
        <v>2</v>
      </c>
      <c r="D346" s="191" t="s">
        <v>59</v>
      </c>
      <c r="E346" s="191" t="s">
        <v>59</v>
      </c>
      <c r="F346" s="192" t="s">
        <v>59</v>
      </c>
      <c r="G346" s="192" t="s">
        <v>59</v>
      </c>
      <c r="H346" s="192"/>
      <c r="I346" s="191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:AB350" si="125">B346</f>
        <v>Grischa Prömel</v>
      </c>
    </row>
    <row r="347" spans="1:28" s="113" customFormat="1" ht="10.5" customHeight="1" x14ac:dyDescent="0.2">
      <c r="A347" s="200">
        <v>8</v>
      </c>
      <c r="B347" s="190" t="s">
        <v>144</v>
      </c>
      <c r="C347" s="190" t="s">
        <v>2</v>
      </c>
      <c r="D347" s="191" t="s">
        <v>59</v>
      </c>
      <c r="E347" s="191" t="s">
        <v>59</v>
      </c>
      <c r="F347" s="192" t="s">
        <v>59</v>
      </c>
      <c r="G347" s="192" t="s">
        <v>59</v>
      </c>
      <c r="H347" s="192"/>
      <c r="I347" s="191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5"/>
        <v>Dennis Geiger</v>
      </c>
    </row>
    <row r="348" spans="1:28" s="113" customFormat="1" ht="10.5" customHeight="1" x14ac:dyDescent="0.2">
      <c r="A348" s="200">
        <v>11</v>
      </c>
      <c r="B348" s="190" t="s">
        <v>489</v>
      </c>
      <c r="C348" s="190" t="s">
        <v>2</v>
      </c>
      <c r="D348" s="191" t="s">
        <v>59</v>
      </c>
      <c r="E348" s="191" t="s">
        <v>59</v>
      </c>
      <c r="F348" s="192" t="s">
        <v>59</v>
      </c>
      <c r="G348" s="192" t="s">
        <v>59</v>
      </c>
      <c r="H348" s="192"/>
      <c r="I348" s="191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5"/>
        <v>Florian Grillitsch (A)</v>
      </c>
    </row>
    <row r="349" spans="1:28" s="113" customFormat="1" ht="10.5" customHeight="1" x14ac:dyDescent="0.2">
      <c r="A349" s="200">
        <v>16</v>
      </c>
      <c r="B349" s="190" t="s">
        <v>293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>
        <v>7</v>
      </c>
      <c r="R349" s="182">
        <v>7</v>
      </c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" si="126">B349</f>
        <v>Anton Stach</v>
      </c>
    </row>
    <row r="350" spans="1:28" s="113" customFormat="1" ht="10.5" customHeight="1" x14ac:dyDescent="0.2">
      <c r="A350" s="200">
        <v>17</v>
      </c>
      <c r="B350" s="190" t="s">
        <v>490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Julian Justvan</v>
      </c>
    </row>
    <row r="351" spans="1:28" s="113" customFormat="1" ht="10.5" customHeight="1" x14ac:dyDescent="0.2">
      <c r="A351" s="200">
        <v>18</v>
      </c>
      <c r="B351" s="190" t="s">
        <v>625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4" si="127">B351</f>
        <v>Diadie Samassékou (A)</v>
      </c>
    </row>
    <row r="352" spans="1:28" s="113" customFormat="1" ht="10.5" customHeight="1" x14ac:dyDescent="0.2">
      <c r="A352" s="200">
        <v>20</v>
      </c>
      <c r="B352" s="190" t="s">
        <v>352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7"/>
        <v>Finn Ole Becker</v>
      </c>
    </row>
    <row r="353" spans="1:28" s="113" customFormat="1" ht="10.5" customHeight="1" x14ac:dyDescent="0.2">
      <c r="A353" s="200">
        <v>24</v>
      </c>
      <c r="B353" s="190" t="s">
        <v>491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Marco John</v>
      </c>
    </row>
    <row r="354" spans="1:28" s="113" customFormat="1" ht="10.5" customHeight="1" x14ac:dyDescent="0.2">
      <c r="A354" s="200">
        <v>31</v>
      </c>
      <c r="B354" s="190" t="s">
        <v>649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7"/>
        <v>Bambasé Conté</v>
      </c>
    </row>
    <row r="355" spans="1:28" s="113" customFormat="1" ht="10.5" customHeight="1" x14ac:dyDescent="0.2">
      <c r="A355" s="200">
        <v>39</v>
      </c>
      <c r="B355" s="190" t="s">
        <v>288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:AB357" si="128">B355</f>
        <v>Tom Bischof</v>
      </c>
    </row>
    <row r="356" spans="1:28" s="113" customFormat="1" ht="10.5" customHeight="1" x14ac:dyDescent="0.2">
      <c r="A356" s="200">
        <v>40</v>
      </c>
      <c r="B356" s="190" t="s">
        <v>416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8"/>
        <v>Umut Tohumcu</v>
      </c>
    </row>
    <row r="357" spans="1:28" s="113" customFormat="1" ht="10.5" customHeight="1" x14ac:dyDescent="0.2">
      <c r="A357" s="201">
        <v>7</v>
      </c>
      <c r="B357" s="195" t="s">
        <v>641</v>
      </c>
      <c r="C357" s="195" t="s">
        <v>3</v>
      </c>
      <c r="D357" s="196" t="s">
        <v>59</v>
      </c>
      <c r="E357" s="196" t="s">
        <v>59</v>
      </c>
      <c r="F357" s="196" t="s">
        <v>59</v>
      </c>
      <c r="G357" s="196" t="s">
        <v>59</v>
      </c>
      <c r="H357" s="197"/>
      <c r="I357" s="196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8"/>
        <v>Mërgim Berisha</v>
      </c>
    </row>
    <row r="358" spans="1:28" s="113" customFormat="1" ht="10.5" customHeight="1" x14ac:dyDescent="0.2">
      <c r="A358" s="201">
        <v>9</v>
      </c>
      <c r="B358" s="195" t="s">
        <v>194</v>
      </c>
      <c r="C358" s="195" t="s">
        <v>3</v>
      </c>
      <c r="D358" s="196" t="s">
        <v>59</v>
      </c>
      <c r="E358" s="196" t="s">
        <v>59</v>
      </c>
      <c r="F358" s="196" t="s">
        <v>59</v>
      </c>
      <c r="G358" s="196" t="s">
        <v>59</v>
      </c>
      <c r="H358" s="197"/>
      <c r="I358" s="196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ref="AB358" si="129">B358</f>
        <v>Ihlas Bebou (A)</v>
      </c>
    </row>
    <row r="359" spans="1:28" s="113" customFormat="1" ht="10.5" customHeight="1" x14ac:dyDescent="0.2">
      <c r="A359" s="201">
        <v>10</v>
      </c>
      <c r="B359" s="195" t="s">
        <v>492</v>
      </c>
      <c r="C359" s="195" t="s">
        <v>3</v>
      </c>
      <c r="D359" s="196" t="s">
        <v>59</v>
      </c>
      <c r="E359" s="196" t="s">
        <v>59</v>
      </c>
      <c r="F359" s="196" t="s">
        <v>59</v>
      </c>
      <c r="G359" s="196" t="s">
        <v>59</v>
      </c>
      <c r="H359" s="197"/>
      <c r="I359" s="196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3" si="130">B359</f>
        <v>Wout Weghorst (A)</v>
      </c>
    </row>
    <row r="360" spans="1:28" s="113" customFormat="1" ht="10.5" customHeight="1" x14ac:dyDescent="0.2">
      <c r="A360" s="201">
        <v>14</v>
      </c>
      <c r="B360" s="195" t="s">
        <v>493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0"/>
        <v>Maximilian Beier</v>
      </c>
    </row>
    <row r="361" spans="1:28" s="113" customFormat="1" ht="10.5" customHeight="1" x14ac:dyDescent="0.2">
      <c r="A361" s="201">
        <v>21</v>
      </c>
      <c r="B361" s="195" t="s">
        <v>372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" si="131">B361</f>
        <v>Marius Bülter</v>
      </c>
    </row>
    <row r="362" spans="1:28" s="113" customFormat="1" ht="10.5" customHeight="1" x14ac:dyDescent="0.2">
      <c r="A362" s="201">
        <v>27</v>
      </c>
      <c r="B362" s="195" t="s">
        <v>624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>
        <v>9</v>
      </c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0"/>
        <v>Andrej Kramarić (A)</v>
      </c>
    </row>
    <row r="363" spans="1:28" s="113" customFormat="1" ht="10.5" customHeight="1" x14ac:dyDescent="0.2">
      <c r="A363" s="201">
        <v>29</v>
      </c>
      <c r="B363" s="195" t="s">
        <v>195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0"/>
        <v>Robert Skov (A)</v>
      </c>
    </row>
    <row r="364" spans="1:28" ht="15" customHeight="1" thickBot="1" x14ac:dyDescent="0.25">
      <c r="A364" s="220" t="s">
        <v>329</v>
      </c>
      <c r="B364" s="220"/>
      <c r="C364" s="220"/>
      <c r="D364" s="220"/>
      <c r="E364" s="220"/>
      <c r="F364" s="220"/>
      <c r="G364" s="220"/>
      <c r="H364" s="220"/>
      <c r="I364" s="220"/>
      <c r="J364" s="10"/>
      <c r="K364" s="176">
        <v>12</v>
      </c>
      <c r="L364" s="176">
        <v>12</v>
      </c>
      <c r="M364" s="176">
        <v>12</v>
      </c>
      <c r="N364" s="176">
        <v>12</v>
      </c>
      <c r="O364" s="176">
        <v>12</v>
      </c>
      <c r="P364" s="176">
        <v>12</v>
      </c>
      <c r="Q364" s="176">
        <v>12</v>
      </c>
      <c r="R364" s="176">
        <v>12</v>
      </c>
      <c r="S364" s="176">
        <v>12</v>
      </c>
      <c r="T364" s="176">
        <v>12</v>
      </c>
      <c r="U364" s="176">
        <v>12</v>
      </c>
      <c r="V364" s="176">
        <v>12</v>
      </c>
      <c r="W364" s="176">
        <v>12</v>
      </c>
      <c r="X364" s="176">
        <v>12</v>
      </c>
      <c r="Y364" s="176">
        <v>12</v>
      </c>
      <c r="Z364" s="217"/>
      <c r="AB364" s="175" t="str">
        <f>A364</f>
        <v>SV Werder Bremen</v>
      </c>
    </row>
    <row r="365" spans="1:28" s="113" customFormat="1" ht="10.5" customHeight="1" x14ac:dyDescent="0.2">
      <c r="A365" s="177">
        <v>1</v>
      </c>
      <c r="B365" s="178" t="s">
        <v>373</v>
      </c>
      <c r="C365" s="178" t="s">
        <v>0</v>
      </c>
      <c r="D365" s="179" t="s">
        <v>59</v>
      </c>
      <c r="E365" s="179" t="s">
        <v>59</v>
      </c>
      <c r="F365" s="180" t="s">
        <v>59</v>
      </c>
      <c r="G365" s="180" t="s">
        <v>59</v>
      </c>
      <c r="H365" s="180"/>
      <c r="I365" s="179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32">B365</f>
        <v>Jiri Pavlenka (A)</v>
      </c>
    </row>
    <row r="366" spans="1:28" s="113" customFormat="1" ht="10.5" customHeight="1" x14ac:dyDescent="0.2">
      <c r="A366" s="177">
        <v>30</v>
      </c>
      <c r="B366" s="178" t="s">
        <v>374</v>
      </c>
      <c r="C366" s="178" t="s">
        <v>0</v>
      </c>
      <c r="D366" s="179" t="s">
        <v>59</v>
      </c>
      <c r="E366" s="179" t="s">
        <v>59</v>
      </c>
      <c r="F366" s="180" t="s">
        <v>59</v>
      </c>
      <c r="G366" s="180" t="s">
        <v>59</v>
      </c>
      <c r="H366" s="180"/>
      <c r="I366" s="179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ref="AB366:AB367" si="133">B366</f>
        <v>Michael Zetterer</v>
      </c>
    </row>
    <row r="367" spans="1:28" s="113" customFormat="1" ht="10.5" customHeight="1" x14ac:dyDescent="0.2">
      <c r="A367" s="177">
        <v>38</v>
      </c>
      <c r="B367" s="178" t="s">
        <v>375</v>
      </c>
      <c r="C367" s="178" t="s">
        <v>0</v>
      </c>
      <c r="D367" s="179" t="s">
        <v>59</v>
      </c>
      <c r="E367" s="179" t="s">
        <v>59</v>
      </c>
      <c r="F367" s="180" t="s">
        <v>59</v>
      </c>
      <c r="G367" s="180" t="s">
        <v>59</v>
      </c>
      <c r="H367" s="180"/>
      <c r="I367" s="179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3"/>
        <v>Eduardo dos Santos Haesler</v>
      </c>
    </row>
    <row r="368" spans="1:28" s="113" customFormat="1" ht="10.5" customHeight="1" x14ac:dyDescent="0.2">
      <c r="A368" s="198">
        <v>2</v>
      </c>
      <c r="B368" s="199" t="s">
        <v>650</v>
      </c>
      <c r="C368" s="185" t="s">
        <v>1</v>
      </c>
      <c r="D368" s="186" t="s">
        <v>59</v>
      </c>
      <c r="E368" s="186" t="s">
        <v>59</v>
      </c>
      <c r="F368" s="187" t="s">
        <v>59</v>
      </c>
      <c r="G368" s="187" t="s">
        <v>59</v>
      </c>
      <c r="H368" s="187"/>
      <c r="I368" s="18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>B368</f>
        <v>Olivier Deman (A)</v>
      </c>
    </row>
    <row r="369" spans="1:28" s="113" customFormat="1" ht="10.5" customHeight="1" x14ac:dyDescent="0.2">
      <c r="A369" s="198">
        <v>3</v>
      </c>
      <c r="B369" s="199" t="s">
        <v>376</v>
      </c>
      <c r="C369" s="185" t="s">
        <v>1</v>
      </c>
      <c r="D369" s="186" t="s">
        <v>59</v>
      </c>
      <c r="E369" s="186" t="s">
        <v>59</v>
      </c>
      <c r="F369" s="187" t="s">
        <v>59</v>
      </c>
      <c r="G369" s="187" t="s">
        <v>59</v>
      </c>
      <c r="H369" s="187"/>
      <c r="I369" s="18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>B369</f>
        <v>Anthony Jung</v>
      </c>
    </row>
    <row r="370" spans="1:28" s="113" customFormat="1" ht="10.5" customHeight="1" x14ac:dyDescent="0.2">
      <c r="A370" s="198">
        <v>4</v>
      </c>
      <c r="B370" s="199" t="s">
        <v>145</v>
      </c>
      <c r="C370" s="185" t="s">
        <v>1</v>
      </c>
      <c r="D370" s="186" t="s">
        <v>59</v>
      </c>
      <c r="E370" s="186" t="s">
        <v>59</v>
      </c>
      <c r="F370" s="187" t="s">
        <v>59</v>
      </c>
      <c r="G370" s="187" t="s">
        <v>59</v>
      </c>
      <c r="H370" s="187"/>
      <c r="I370" s="18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:AB375" si="134">B370</f>
        <v>Niklas Stark</v>
      </c>
    </row>
    <row r="371" spans="1:28" s="113" customFormat="1" ht="10.5" customHeight="1" x14ac:dyDescent="0.2">
      <c r="A371" s="198">
        <v>5</v>
      </c>
      <c r="B371" s="199" t="s">
        <v>243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4"/>
        <v>Amos Pieper</v>
      </c>
    </row>
    <row r="372" spans="1:28" s="113" customFormat="1" ht="10.5" customHeight="1" x14ac:dyDescent="0.2">
      <c r="A372" s="198">
        <v>8</v>
      </c>
      <c r="B372" s="199" t="s">
        <v>377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4"/>
        <v>Mitchell Weiser</v>
      </c>
    </row>
    <row r="373" spans="1:28" s="113" customFormat="1" ht="10.5" customHeight="1" x14ac:dyDescent="0.2">
      <c r="A373" s="198">
        <v>13</v>
      </c>
      <c r="B373" s="199" t="s">
        <v>635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4"/>
        <v>Miloš Veljković (A)</v>
      </c>
    </row>
    <row r="374" spans="1:28" s="113" customFormat="1" ht="10.5" customHeight="1" x14ac:dyDescent="0.2">
      <c r="A374" s="198">
        <v>27</v>
      </c>
      <c r="B374" s="199" t="s">
        <v>378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4"/>
        <v>Felix Agu</v>
      </c>
    </row>
    <row r="375" spans="1:28" s="113" customFormat="1" ht="10.5" customHeight="1" x14ac:dyDescent="0.2">
      <c r="A375" s="198">
        <v>32</v>
      </c>
      <c r="B375" s="199" t="s">
        <v>379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4"/>
        <v>Marco Friedl (A)</v>
      </c>
    </row>
    <row r="376" spans="1:28" s="113" customFormat="1" ht="10.5" customHeight="1" x14ac:dyDescent="0.2">
      <c r="A376" s="198">
        <v>36</v>
      </c>
      <c r="B376" s="199" t="s">
        <v>380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35">B376</f>
        <v>Christian Gross</v>
      </c>
    </row>
    <row r="377" spans="1:28" s="113" customFormat="1" ht="10.5" customHeight="1" x14ac:dyDescent="0.2">
      <c r="A377" s="188">
        <v>6</v>
      </c>
      <c r="B377" s="189" t="s">
        <v>382</v>
      </c>
      <c r="C377" s="190" t="s">
        <v>2</v>
      </c>
      <c r="D377" s="191" t="s">
        <v>59</v>
      </c>
      <c r="E377" s="191" t="s">
        <v>59</v>
      </c>
      <c r="F377" s="192" t="s">
        <v>59</v>
      </c>
      <c r="G377" s="192" t="s">
        <v>59</v>
      </c>
      <c r="H377" s="192"/>
      <c r="I377" s="191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36">B377</f>
        <v>Jens Stage (A)</v>
      </c>
    </row>
    <row r="378" spans="1:28" s="113" customFormat="1" ht="10.5" customHeight="1" x14ac:dyDescent="0.2">
      <c r="A378" s="188">
        <v>10</v>
      </c>
      <c r="B378" s="189" t="s">
        <v>383</v>
      </c>
      <c r="C378" s="190" t="s">
        <v>2</v>
      </c>
      <c r="D378" s="191" t="s">
        <v>59</v>
      </c>
      <c r="E378" s="191" t="s">
        <v>59</v>
      </c>
      <c r="F378" s="192" t="s">
        <v>59</v>
      </c>
      <c r="G378" s="192" t="s">
        <v>59</v>
      </c>
      <c r="H378" s="192"/>
      <c r="I378" s="191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:AB382" si="137">B378</f>
        <v>Leonardo Bittencourt</v>
      </c>
    </row>
    <row r="379" spans="1:28" s="113" customFormat="1" ht="10.5" customHeight="1" x14ac:dyDescent="0.2">
      <c r="A379" s="188">
        <v>14</v>
      </c>
      <c r="B379" s="189" t="s">
        <v>494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7"/>
        <v>Senne Lynen (A)</v>
      </c>
    </row>
    <row r="380" spans="1:28" s="113" customFormat="1" ht="10.5" customHeight="1" x14ac:dyDescent="0.2">
      <c r="A380" s="188">
        <v>18</v>
      </c>
      <c r="B380" s="189" t="s">
        <v>495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si="137"/>
        <v>Naby Keita (A)</v>
      </c>
    </row>
    <row r="381" spans="1:28" s="113" customFormat="1" ht="10.5" customHeight="1" x14ac:dyDescent="0.2">
      <c r="A381" s="188">
        <v>20</v>
      </c>
      <c r="B381" s="189" t="s">
        <v>384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8">B381</f>
        <v>Romano Schmid (A)</v>
      </c>
    </row>
    <row r="382" spans="1:28" s="113" customFormat="1" ht="10.5" customHeight="1" x14ac:dyDescent="0.2">
      <c r="A382" s="188">
        <v>23</v>
      </c>
      <c r="B382" s="189" t="s">
        <v>496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7"/>
        <v>Nicolai Rapp</v>
      </c>
    </row>
    <row r="383" spans="1:28" s="113" customFormat="1" ht="10.5" customHeight="1" x14ac:dyDescent="0.2">
      <c r="A383" s="188">
        <v>35</v>
      </c>
      <c r="B383" s="189" t="s">
        <v>580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ref="AB383" si="139">B383</f>
        <v>Leon Opitz</v>
      </c>
    </row>
    <row r="384" spans="1:28" s="113" customFormat="1" ht="10.5" customHeight="1" x14ac:dyDescent="0.2">
      <c r="A384" s="193">
        <v>7</v>
      </c>
      <c r="B384" s="194" t="s">
        <v>385</v>
      </c>
      <c r="C384" s="195" t="s">
        <v>3</v>
      </c>
      <c r="D384" s="196" t="s">
        <v>59</v>
      </c>
      <c r="E384" s="196" t="s">
        <v>59</v>
      </c>
      <c r="F384" s="197" t="s">
        <v>59</v>
      </c>
      <c r="G384" s="197" t="s">
        <v>59</v>
      </c>
      <c r="H384" s="197"/>
      <c r="I384" s="19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:AB386" si="140">B384</f>
        <v>Marvin Ducksch</v>
      </c>
    </row>
    <row r="385" spans="1:28" s="113" customFormat="1" ht="10.5" customHeight="1" x14ac:dyDescent="0.2">
      <c r="A385" s="193">
        <v>9</v>
      </c>
      <c r="B385" s="194" t="s">
        <v>497</v>
      </c>
      <c r="C385" s="195" t="s">
        <v>3</v>
      </c>
      <c r="D385" s="196" t="s">
        <v>59</v>
      </c>
      <c r="E385" s="196" t="s">
        <v>59</v>
      </c>
      <c r="F385" s="197" t="s">
        <v>59</v>
      </c>
      <c r="G385" s="197" t="s">
        <v>59</v>
      </c>
      <c r="H385" s="197"/>
      <c r="I385" s="19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0"/>
        <v>Dawid Kownacki (A)</v>
      </c>
    </row>
    <row r="386" spans="1:28" s="113" customFormat="1" ht="10.5" customHeight="1" x14ac:dyDescent="0.2">
      <c r="A386" s="193">
        <v>17</v>
      </c>
      <c r="B386" s="194" t="s">
        <v>498</v>
      </c>
      <c r="C386" s="195" t="s">
        <v>3</v>
      </c>
      <c r="D386" s="196" t="s">
        <v>59</v>
      </c>
      <c r="E386" s="196" t="s">
        <v>59</v>
      </c>
      <c r="F386" s="197" t="s">
        <v>59</v>
      </c>
      <c r="G386" s="197" t="s">
        <v>59</v>
      </c>
      <c r="H386" s="197"/>
      <c r="I386" s="19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0"/>
        <v>Justin Njinmah</v>
      </c>
    </row>
    <row r="387" spans="1:28" s="113" customFormat="1" ht="10.5" customHeight="1" x14ac:dyDescent="0.2">
      <c r="A387" s="193">
        <v>19</v>
      </c>
      <c r="B387" s="194" t="s">
        <v>613</v>
      </c>
      <c r="C387" s="195" t="s">
        <v>3</v>
      </c>
      <c r="D387" s="196" t="s">
        <v>59</v>
      </c>
      <c r="E387" s="196" t="s">
        <v>59</v>
      </c>
      <c r="F387" s="197" t="s">
        <v>59</v>
      </c>
      <c r="G387" s="197" t="s">
        <v>59</v>
      </c>
      <c r="H387" s="197"/>
      <c r="I387" s="19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>B387</f>
        <v>Rafael Borré (A)</v>
      </c>
    </row>
    <row r="388" spans="1:28" s="113" customFormat="1" ht="10.5" customHeight="1" x14ac:dyDescent="0.2">
      <c r="A388" s="193">
        <v>29</v>
      </c>
      <c r="B388" s="194" t="s">
        <v>499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1">B388</f>
        <v>Nick Woltemade</v>
      </c>
    </row>
    <row r="389" spans="1:28" ht="15" customHeight="1" thickBot="1" x14ac:dyDescent="0.25">
      <c r="A389" s="219" t="s">
        <v>265</v>
      </c>
      <c r="B389" s="219"/>
      <c r="C389" s="219"/>
      <c r="D389" s="219"/>
      <c r="E389" s="219"/>
      <c r="F389" s="219"/>
      <c r="G389" s="219"/>
      <c r="H389" s="219"/>
      <c r="I389" s="219"/>
      <c r="J389" s="10"/>
      <c r="K389" s="176">
        <v>12</v>
      </c>
      <c r="L389" s="176">
        <v>12</v>
      </c>
      <c r="M389" s="176">
        <v>12</v>
      </c>
      <c r="N389" s="176">
        <v>12</v>
      </c>
      <c r="O389" s="176">
        <v>12</v>
      </c>
      <c r="P389" s="176">
        <v>12</v>
      </c>
      <c r="Q389" s="176">
        <v>12</v>
      </c>
      <c r="R389" s="176">
        <v>12</v>
      </c>
      <c r="S389" s="176">
        <v>12</v>
      </c>
      <c r="T389" s="176">
        <v>12</v>
      </c>
      <c r="U389" s="176">
        <v>12</v>
      </c>
      <c r="V389" s="176">
        <v>12</v>
      </c>
      <c r="W389" s="176">
        <v>12</v>
      </c>
      <c r="X389" s="176">
        <v>12</v>
      </c>
      <c r="Y389" s="176">
        <v>12</v>
      </c>
      <c r="Z389" s="217"/>
      <c r="AB389" s="175" t="str">
        <f>A389</f>
        <v>VfL Bochum</v>
      </c>
    </row>
    <row r="390" spans="1:28" s="113" customFormat="1" ht="10.5" customHeight="1" x14ac:dyDescent="0.2">
      <c r="A390" s="177">
        <v>1</v>
      </c>
      <c r="B390" s="178" t="s">
        <v>309</v>
      </c>
      <c r="C390" s="178" t="s">
        <v>0</v>
      </c>
      <c r="D390" s="179" t="s">
        <v>59</v>
      </c>
      <c r="E390" s="179" t="s">
        <v>59</v>
      </c>
      <c r="F390" s="180" t="s">
        <v>59</v>
      </c>
      <c r="G390" s="180" t="s">
        <v>59</v>
      </c>
      <c r="H390" s="180"/>
      <c r="I390" s="179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" si="142">B390</f>
        <v>Manuel Riemann</v>
      </c>
    </row>
    <row r="391" spans="1:28" s="113" customFormat="1" ht="10.5" customHeight="1" x14ac:dyDescent="0.2">
      <c r="A391" s="177">
        <v>21</v>
      </c>
      <c r="B391" s="178" t="s">
        <v>310</v>
      </c>
      <c r="C391" s="178" t="s">
        <v>0</v>
      </c>
      <c r="D391" s="179" t="s">
        <v>59</v>
      </c>
      <c r="E391" s="179" t="s">
        <v>59</v>
      </c>
      <c r="F391" s="180" t="s">
        <v>59</v>
      </c>
      <c r="G391" s="180" t="s">
        <v>59</v>
      </c>
      <c r="H391" s="180"/>
      <c r="I391" s="179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ref="AB391" si="143">B391</f>
        <v>Michael Esser</v>
      </c>
    </row>
    <row r="392" spans="1:28" s="113" customFormat="1" ht="10.5" customHeight="1" x14ac:dyDescent="0.2">
      <c r="A392" s="177">
        <v>23</v>
      </c>
      <c r="B392" s="178" t="s">
        <v>500</v>
      </c>
      <c r="C392" s="178" t="s">
        <v>0</v>
      </c>
      <c r="D392" s="179" t="s">
        <v>59</v>
      </c>
      <c r="E392" s="179" t="s">
        <v>59</v>
      </c>
      <c r="F392" s="180" t="s">
        <v>59</v>
      </c>
      <c r="G392" s="180" t="s">
        <v>59</v>
      </c>
      <c r="H392" s="180"/>
      <c r="I392" s="179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" si="144">B392</f>
        <v>Nicklas Thiede</v>
      </c>
    </row>
    <row r="393" spans="1:28" s="113" customFormat="1" ht="10.5" customHeight="1" x14ac:dyDescent="0.2">
      <c r="A393" s="198">
        <v>2</v>
      </c>
      <c r="B393" s="199" t="s">
        <v>307</v>
      </c>
      <c r="C393" s="185" t="s">
        <v>1</v>
      </c>
      <c r="D393" s="186" t="s">
        <v>59</v>
      </c>
      <c r="E393" s="186" t="s">
        <v>59</v>
      </c>
      <c r="F393" s="187" t="s">
        <v>59</v>
      </c>
      <c r="G393" s="187" t="s">
        <v>59</v>
      </c>
      <c r="H393" s="187"/>
      <c r="I393" s="18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Cristian Gamboa (A)</v>
      </c>
    </row>
    <row r="394" spans="1:28" s="113" customFormat="1" ht="10.5" customHeight="1" x14ac:dyDescent="0.2">
      <c r="A394" s="198">
        <v>3</v>
      </c>
      <c r="B394" s="199" t="s">
        <v>581</v>
      </c>
      <c r="C394" s="185" t="s">
        <v>1</v>
      </c>
      <c r="D394" s="186" t="s">
        <v>59</v>
      </c>
      <c r="E394" s="186" t="s">
        <v>59</v>
      </c>
      <c r="F394" s="187" t="s">
        <v>59</v>
      </c>
      <c r="G394" s="187" t="s">
        <v>59</v>
      </c>
      <c r="H394" s="187"/>
      <c r="I394" s="18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>B394</f>
        <v>Danilo Soares (A)</v>
      </c>
    </row>
    <row r="395" spans="1:28" s="113" customFormat="1" ht="10.5" customHeight="1" x14ac:dyDescent="0.2">
      <c r="A395" s="198">
        <v>4</v>
      </c>
      <c r="B395" s="199" t="s">
        <v>633</v>
      </c>
      <c r="C395" s="185" t="s">
        <v>1</v>
      </c>
      <c r="D395" s="186" t="s">
        <v>59</v>
      </c>
      <c r="E395" s="186" t="s">
        <v>59</v>
      </c>
      <c r="F395" s="187" t="s">
        <v>59</v>
      </c>
      <c r="G395" s="187" t="s">
        <v>59</v>
      </c>
      <c r="H395" s="187"/>
      <c r="I395" s="18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>B395</f>
        <v>Erhan Mašović (A)</v>
      </c>
    </row>
    <row r="396" spans="1:28" s="113" customFormat="1" ht="10.5" customHeight="1" x14ac:dyDescent="0.2">
      <c r="A396" s="198">
        <v>5</v>
      </c>
      <c r="B396" s="199" t="s">
        <v>502</v>
      </c>
      <c r="C396" s="185" t="s">
        <v>1</v>
      </c>
      <c r="D396" s="186" t="s">
        <v>59</v>
      </c>
      <c r="E396" s="186" t="s">
        <v>59</v>
      </c>
      <c r="F396" s="187" t="s">
        <v>59</v>
      </c>
      <c r="G396" s="187" t="s">
        <v>59</v>
      </c>
      <c r="H396" s="187"/>
      <c r="I396" s="18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7" si="146">B396</f>
        <v>Bernardo (A)</v>
      </c>
    </row>
    <row r="397" spans="1:28" s="113" customFormat="1" ht="10.5" customHeight="1" x14ac:dyDescent="0.2">
      <c r="A397" s="198">
        <v>14</v>
      </c>
      <c r="B397" s="199" t="s">
        <v>588</v>
      </c>
      <c r="C397" s="185" t="s">
        <v>1</v>
      </c>
      <c r="D397" s="186" t="s">
        <v>59</v>
      </c>
      <c r="E397" s="186" t="s">
        <v>59</v>
      </c>
      <c r="F397" s="187" t="s">
        <v>59</v>
      </c>
      <c r="G397" s="187" t="s">
        <v>59</v>
      </c>
      <c r="H397" s="187"/>
      <c r="I397" s="18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6"/>
        <v>Tim Oermann</v>
      </c>
    </row>
    <row r="398" spans="1:28" s="113" customFormat="1" ht="10.5" customHeight="1" x14ac:dyDescent="0.2">
      <c r="A398" s="198">
        <v>15</v>
      </c>
      <c r="B398" s="199" t="s">
        <v>503</v>
      </c>
      <c r="C398" s="185" t="s">
        <v>1</v>
      </c>
      <c r="D398" s="186" t="s">
        <v>59</v>
      </c>
      <c r="E398" s="186" t="s">
        <v>59</v>
      </c>
      <c r="F398" s="187" t="s">
        <v>59</v>
      </c>
      <c r="G398" s="187" t="s">
        <v>59</v>
      </c>
      <c r="H398" s="187"/>
      <c r="I398" s="18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7">B398</f>
        <v>Felix Passlack</v>
      </c>
    </row>
    <row r="399" spans="1:28" s="113" customFormat="1" ht="10.5" customHeight="1" x14ac:dyDescent="0.2">
      <c r="A399" s="198">
        <v>20</v>
      </c>
      <c r="B399" s="199" t="s">
        <v>365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:AB404" si="148">B399</f>
        <v>Ivan Ordets (A)</v>
      </c>
    </row>
    <row r="400" spans="1:28" s="113" customFormat="1" ht="10.5" customHeight="1" x14ac:dyDescent="0.2">
      <c r="A400" s="198">
        <v>25</v>
      </c>
      <c r="B400" s="199" t="s">
        <v>366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si="148"/>
        <v>Mohammed Tolba</v>
      </c>
    </row>
    <row r="401" spans="1:28" s="113" customFormat="1" ht="10.5" customHeight="1" x14ac:dyDescent="0.2">
      <c r="A401" s="198">
        <v>30</v>
      </c>
      <c r="B401" s="199" t="s">
        <v>582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si="148"/>
        <v>Moritz Römling</v>
      </c>
    </row>
    <row r="402" spans="1:28" s="113" customFormat="1" ht="10.5" customHeight="1" x14ac:dyDescent="0.2">
      <c r="A402" s="198">
        <v>31</v>
      </c>
      <c r="B402" s="199" t="s">
        <v>171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si="148"/>
        <v>Keven Schlotterbeck</v>
      </c>
    </row>
    <row r="403" spans="1:28" s="113" customFormat="1" ht="10.5" customHeight="1" x14ac:dyDescent="0.2">
      <c r="A403" s="198">
        <v>32</v>
      </c>
      <c r="B403" s="199" t="s">
        <v>589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49">B403</f>
        <v>Maximilian Wittek</v>
      </c>
    </row>
    <row r="404" spans="1:28" s="113" customFormat="1" ht="10.5" customHeight="1" x14ac:dyDescent="0.2">
      <c r="A404" s="198">
        <v>41</v>
      </c>
      <c r="B404" s="199" t="s">
        <v>501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si="148"/>
        <v>Noah Loosli (A)</v>
      </c>
    </row>
    <row r="405" spans="1:28" s="113" customFormat="1" ht="10.5" customHeight="1" x14ac:dyDescent="0.2">
      <c r="A405" s="200">
        <v>6</v>
      </c>
      <c r="B405" s="190" t="s">
        <v>304</v>
      </c>
      <c r="C405" s="190" t="s">
        <v>2</v>
      </c>
      <c r="D405" s="191" t="s">
        <v>59</v>
      </c>
      <c r="E405" s="191" t="s">
        <v>59</v>
      </c>
      <c r="F405" s="192" t="s">
        <v>59</v>
      </c>
      <c r="G405" s="192" t="s">
        <v>59</v>
      </c>
      <c r="H405" s="192"/>
      <c r="I405" s="191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0">B405</f>
        <v>Patrick Osterhage</v>
      </c>
    </row>
    <row r="406" spans="1:28" s="113" customFormat="1" ht="10.5" customHeight="1" x14ac:dyDescent="0.2">
      <c r="A406" s="200">
        <v>7</v>
      </c>
      <c r="B406" s="190" t="s">
        <v>258</v>
      </c>
      <c r="C406" s="190" t="s">
        <v>2</v>
      </c>
      <c r="D406" s="191" t="s">
        <v>59</v>
      </c>
      <c r="E406" s="191" t="s">
        <v>59</v>
      </c>
      <c r="F406" s="192" t="s">
        <v>59</v>
      </c>
      <c r="G406" s="192" t="s">
        <v>59</v>
      </c>
      <c r="H406" s="192"/>
      <c r="I406" s="191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:AB408" si="151">B406</f>
        <v>Kevin Stöger (A)</v>
      </c>
    </row>
    <row r="407" spans="1:28" s="113" customFormat="1" ht="10.5" customHeight="1" x14ac:dyDescent="0.2">
      <c r="A407" s="200">
        <v>8</v>
      </c>
      <c r="B407" s="190" t="s">
        <v>305</v>
      </c>
      <c r="C407" s="190" t="s">
        <v>2</v>
      </c>
      <c r="D407" s="191" t="s">
        <v>59</v>
      </c>
      <c r="E407" s="191" t="s">
        <v>59</v>
      </c>
      <c r="F407" s="192" t="s">
        <v>59</v>
      </c>
      <c r="G407" s="192" t="s">
        <v>59</v>
      </c>
      <c r="H407" s="192"/>
      <c r="I407" s="191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51"/>
        <v>Anthony Losilia (A)</v>
      </c>
    </row>
    <row r="408" spans="1:28" s="113" customFormat="1" ht="10.5" customHeight="1" x14ac:dyDescent="0.2">
      <c r="A408" s="200">
        <v>10</v>
      </c>
      <c r="B408" s="190" t="s">
        <v>250</v>
      </c>
      <c r="C408" s="190" t="s">
        <v>2</v>
      </c>
      <c r="D408" s="191" t="s">
        <v>59</v>
      </c>
      <c r="E408" s="191" t="s">
        <v>59</v>
      </c>
      <c r="F408" s="192" t="s">
        <v>59</v>
      </c>
      <c r="G408" s="192" t="s">
        <v>59</v>
      </c>
      <c r="H408" s="192"/>
      <c r="I408" s="191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51"/>
        <v>Philipp Förster</v>
      </c>
    </row>
    <row r="409" spans="1:28" s="113" customFormat="1" ht="10.5" customHeight="1" x14ac:dyDescent="0.2">
      <c r="A409" s="200">
        <v>13</v>
      </c>
      <c r="B409" s="190" t="s">
        <v>504</v>
      </c>
      <c r="C409" s="190" t="s">
        <v>2</v>
      </c>
      <c r="D409" s="191" t="s">
        <v>59</v>
      </c>
      <c r="E409" s="191" t="s">
        <v>59</v>
      </c>
      <c r="F409" s="192" t="s">
        <v>59</v>
      </c>
      <c r="G409" s="192" t="s">
        <v>59</v>
      </c>
      <c r="H409" s="192"/>
      <c r="I409" s="191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ref="AB409:AB412" si="152">B409</f>
        <v>Lukas Daschner</v>
      </c>
    </row>
    <row r="410" spans="1:28" s="113" customFormat="1" ht="10.5" customHeight="1" x14ac:dyDescent="0.2">
      <c r="A410" s="200">
        <v>18</v>
      </c>
      <c r="B410" s="190" t="s">
        <v>364</v>
      </c>
      <c r="C410" s="190" t="s">
        <v>2</v>
      </c>
      <c r="D410" s="191" t="s">
        <v>59</v>
      </c>
      <c r="E410" s="191" t="s">
        <v>59</v>
      </c>
      <c r="F410" s="192" t="s">
        <v>59</v>
      </c>
      <c r="G410" s="192" t="s">
        <v>59</v>
      </c>
      <c r="H410" s="192"/>
      <c r="I410" s="191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>B410</f>
        <v>Jordi Osei-Tutu (A)</v>
      </c>
    </row>
    <row r="411" spans="1:28" s="113" customFormat="1" ht="10.5" customHeight="1" x14ac:dyDescent="0.2">
      <c r="A411" s="200">
        <v>19</v>
      </c>
      <c r="B411" s="190" t="s">
        <v>634</v>
      </c>
      <c r="C411" s="190" t="s">
        <v>2</v>
      </c>
      <c r="D411" s="191" t="s">
        <v>59</v>
      </c>
      <c r="E411" s="191" t="s">
        <v>59</v>
      </c>
      <c r="F411" s="192" t="s">
        <v>59</v>
      </c>
      <c r="G411" s="192" t="s">
        <v>59</v>
      </c>
      <c r="H411" s="192"/>
      <c r="I411" s="191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2"/>
        <v>Matúš Bero (A)</v>
      </c>
    </row>
    <row r="412" spans="1:28" s="113" customFormat="1" ht="10.5" customHeight="1" x14ac:dyDescent="0.2">
      <c r="A412" s="200">
        <v>24</v>
      </c>
      <c r="B412" s="190" t="s">
        <v>583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2"/>
        <v>Mats Pannewig</v>
      </c>
    </row>
    <row r="413" spans="1:28" s="113" customFormat="1" ht="10.5" customHeight="1" x14ac:dyDescent="0.2">
      <c r="A413" s="200">
        <v>27</v>
      </c>
      <c r="B413" s="190" t="s">
        <v>505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53">B413</f>
        <v>Moritz Kwarteng</v>
      </c>
    </row>
    <row r="414" spans="1:28" s="113" customFormat="1" ht="10.5" customHeight="1" x14ac:dyDescent="0.2">
      <c r="A414" s="201">
        <v>9</v>
      </c>
      <c r="B414" s="195" t="s">
        <v>651</v>
      </c>
      <c r="C414" s="195" t="s">
        <v>3</v>
      </c>
      <c r="D414" s="196" t="s">
        <v>59</v>
      </c>
      <c r="E414" s="196" t="s">
        <v>59</v>
      </c>
      <c r="F414" s="197" t="s">
        <v>59</v>
      </c>
      <c r="G414" s="197" t="s">
        <v>59</v>
      </c>
      <c r="H414" s="197"/>
      <c r="I414" s="19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" si="154">B414</f>
        <v>Gonçalo Paciênca (A)</v>
      </c>
    </row>
    <row r="415" spans="1:28" s="113" customFormat="1" ht="10.5" customHeight="1" x14ac:dyDescent="0.2">
      <c r="A415" s="201">
        <v>11</v>
      </c>
      <c r="B415" s="195" t="s">
        <v>303</v>
      </c>
      <c r="C415" s="195" t="s">
        <v>3</v>
      </c>
      <c r="D415" s="196" t="s">
        <v>59</v>
      </c>
      <c r="E415" s="196" t="s">
        <v>59</v>
      </c>
      <c r="F415" s="197" t="s">
        <v>59</v>
      </c>
      <c r="G415" s="197" t="s">
        <v>59</v>
      </c>
      <c r="H415" s="197"/>
      <c r="I415" s="19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:AB418" si="155">B415</f>
        <v>Takuma Asano (A)</v>
      </c>
    </row>
    <row r="416" spans="1:28" s="113" customFormat="1" ht="10.5" customHeight="1" x14ac:dyDescent="0.2">
      <c r="A416" s="201">
        <v>22</v>
      </c>
      <c r="B416" s="195" t="s">
        <v>306</v>
      </c>
      <c r="C416" s="195" t="s">
        <v>3</v>
      </c>
      <c r="D416" s="196" t="s">
        <v>59</v>
      </c>
      <c r="E416" s="196" t="s">
        <v>59</v>
      </c>
      <c r="F416" s="197" t="s">
        <v>59</v>
      </c>
      <c r="G416" s="197" t="s">
        <v>59</v>
      </c>
      <c r="H416" s="197"/>
      <c r="I416" s="19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Christopher Antwi-Adjei</v>
      </c>
    </row>
    <row r="417" spans="1:28" s="113" customFormat="1" ht="10.5" customHeight="1" x14ac:dyDescent="0.2">
      <c r="A417" s="201">
        <v>29</v>
      </c>
      <c r="B417" s="195" t="s">
        <v>408</v>
      </c>
      <c r="C417" s="195" t="s">
        <v>3</v>
      </c>
      <c r="D417" s="196" t="s">
        <v>59</v>
      </c>
      <c r="E417" s="196" t="s">
        <v>59</v>
      </c>
      <c r="F417" s="197" t="s">
        <v>59</v>
      </c>
      <c r="G417" s="197" t="s">
        <v>59</v>
      </c>
      <c r="H417" s="197"/>
      <c r="I417" s="19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6">B417</f>
        <v>Moritz Broschinski</v>
      </c>
    </row>
    <row r="418" spans="1:28" s="113" customFormat="1" ht="10.5" customHeight="1" x14ac:dyDescent="0.2">
      <c r="A418" s="201">
        <v>33</v>
      </c>
      <c r="B418" s="195" t="s">
        <v>367</v>
      </c>
      <c r="C418" s="195" t="s">
        <v>3</v>
      </c>
      <c r="D418" s="196" t="s">
        <v>59</v>
      </c>
      <c r="E418" s="196" t="s">
        <v>59</v>
      </c>
      <c r="F418" s="197" t="s">
        <v>59</v>
      </c>
      <c r="G418" s="197" t="s">
        <v>59</v>
      </c>
      <c r="H418" s="197"/>
      <c r="I418" s="19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5"/>
        <v>Philipp Hofmann</v>
      </c>
    </row>
    <row r="419" spans="1:28" ht="15" customHeight="1" thickBot="1" x14ac:dyDescent="0.25">
      <c r="A419" s="220" t="s">
        <v>97</v>
      </c>
      <c r="B419" s="220"/>
      <c r="C419" s="220"/>
      <c r="D419" s="220"/>
      <c r="E419" s="220"/>
      <c r="F419" s="220"/>
      <c r="G419" s="220"/>
      <c r="H419" s="220"/>
      <c r="I419" s="220"/>
      <c r="J419" s="10"/>
      <c r="K419" s="176">
        <v>12</v>
      </c>
      <c r="L419" s="176">
        <v>12</v>
      </c>
      <c r="M419" s="176">
        <v>12</v>
      </c>
      <c r="N419" s="176">
        <v>12</v>
      </c>
      <c r="O419" s="176">
        <v>12</v>
      </c>
      <c r="P419" s="176">
        <v>12</v>
      </c>
      <c r="Q419" s="176">
        <v>12</v>
      </c>
      <c r="R419" s="176">
        <v>12</v>
      </c>
      <c r="S419" s="176">
        <v>12</v>
      </c>
      <c r="T419" s="176">
        <v>12</v>
      </c>
      <c r="U419" s="176">
        <v>12</v>
      </c>
      <c r="V419" s="176">
        <v>12</v>
      </c>
      <c r="W419" s="176">
        <v>12</v>
      </c>
      <c r="X419" s="176">
        <v>12</v>
      </c>
      <c r="Y419" s="176">
        <v>12</v>
      </c>
      <c r="Z419" s="217"/>
      <c r="AB419" s="175" t="str">
        <f>A419</f>
        <v xml:space="preserve">FC Augsburg </v>
      </c>
    </row>
    <row r="420" spans="1:28" ht="10.5" customHeight="1" x14ac:dyDescent="0.2">
      <c r="A420" s="177">
        <v>1</v>
      </c>
      <c r="B420" s="178" t="s">
        <v>196</v>
      </c>
      <c r="C420" s="178" t="s">
        <v>0</v>
      </c>
      <c r="D420" s="179" t="s">
        <v>59</v>
      </c>
      <c r="E420" s="179" t="s">
        <v>59</v>
      </c>
      <c r="F420" s="180" t="s">
        <v>59</v>
      </c>
      <c r="G420" s="180" t="s">
        <v>59</v>
      </c>
      <c r="H420" s="180"/>
      <c r="I420" s="179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AB420" s="175" t="str">
        <f t="shared" ref="AB420" si="157">B420</f>
        <v>Finn Dahmen</v>
      </c>
    </row>
    <row r="421" spans="1:28" ht="10.5" customHeight="1" x14ac:dyDescent="0.2">
      <c r="A421" s="177">
        <v>33</v>
      </c>
      <c r="B421" s="178" t="s">
        <v>506</v>
      </c>
      <c r="C421" s="178" t="s">
        <v>0</v>
      </c>
      <c r="D421" s="179" t="s">
        <v>59</v>
      </c>
      <c r="E421" s="179" t="s">
        <v>59</v>
      </c>
      <c r="F421" s="180" t="s">
        <v>59</v>
      </c>
      <c r="G421" s="180" t="s">
        <v>59</v>
      </c>
      <c r="H421" s="180"/>
      <c r="I421" s="179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AB421" s="175" t="str">
        <f t="shared" ref="AB421:AB422" si="158">B421</f>
        <v>Marcel Lubik (A)</v>
      </c>
    </row>
    <row r="422" spans="1:28" ht="10.5" customHeight="1" x14ac:dyDescent="0.2">
      <c r="A422" s="177">
        <v>40</v>
      </c>
      <c r="B422" s="178" t="s">
        <v>630</v>
      </c>
      <c r="C422" s="178" t="s">
        <v>0</v>
      </c>
      <c r="D422" s="179" t="s">
        <v>59</v>
      </c>
      <c r="E422" s="179" t="s">
        <v>59</v>
      </c>
      <c r="F422" s="180" t="s">
        <v>59</v>
      </c>
      <c r="G422" s="180" t="s">
        <v>59</v>
      </c>
      <c r="H422" s="180"/>
      <c r="I422" s="179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AB422" s="175" t="str">
        <f t="shared" si="158"/>
        <v>Tomáš Koubek (A)</v>
      </c>
    </row>
    <row r="423" spans="1:28" ht="10.5" customHeight="1" x14ac:dyDescent="0.2">
      <c r="A423" s="198">
        <v>2</v>
      </c>
      <c r="B423" s="199" t="s">
        <v>241</v>
      </c>
      <c r="C423" s="185" t="s">
        <v>1</v>
      </c>
      <c r="D423" s="186" t="s">
        <v>59</v>
      </c>
      <c r="E423" s="186" t="s">
        <v>59</v>
      </c>
      <c r="F423" s="187" t="s">
        <v>59</v>
      </c>
      <c r="G423" s="187" t="s">
        <v>59</v>
      </c>
      <c r="H423" s="187"/>
      <c r="I423" s="18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AB423" s="175" t="str">
        <f t="shared" ref="AB423" si="159">B423</f>
        <v>Robert Gumny (A)</v>
      </c>
    </row>
    <row r="424" spans="1:28" ht="10.5" customHeight="1" x14ac:dyDescent="0.2">
      <c r="A424" s="198">
        <v>3</v>
      </c>
      <c r="B424" s="199" t="s">
        <v>318</v>
      </c>
      <c r="C424" s="185" t="s">
        <v>1</v>
      </c>
      <c r="D424" s="186" t="s">
        <v>59</v>
      </c>
      <c r="E424" s="186" t="s">
        <v>59</v>
      </c>
      <c r="F424" s="187" t="s">
        <v>59</v>
      </c>
      <c r="G424" s="187" t="s">
        <v>59</v>
      </c>
      <c r="H424" s="187"/>
      <c r="I424" s="18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AB424" s="175" t="str">
        <f t="shared" ref="AB424:AB426" si="160">B424</f>
        <v>Mads Pedersen (A)</v>
      </c>
    </row>
    <row r="425" spans="1:28" ht="10.5" customHeight="1" x14ac:dyDescent="0.2">
      <c r="A425" s="198">
        <v>4</v>
      </c>
      <c r="B425" s="199" t="s">
        <v>202</v>
      </c>
      <c r="C425" s="185" t="s">
        <v>1</v>
      </c>
      <c r="D425" s="186" t="s">
        <v>59</v>
      </c>
      <c r="E425" s="186" t="s">
        <v>59</v>
      </c>
      <c r="F425" s="187" t="s">
        <v>59</v>
      </c>
      <c r="G425" s="187" t="s">
        <v>59</v>
      </c>
      <c r="H425" s="187"/>
      <c r="I425" s="18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AB425" s="175" t="str">
        <f t="shared" si="160"/>
        <v>Reece Oxford (A)</v>
      </c>
    </row>
    <row r="426" spans="1:28" ht="10.5" customHeight="1" x14ac:dyDescent="0.2">
      <c r="A426" s="198">
        <v>5</v>
      </c>
      <c r="B426" s="199" t="s">
        <v>507</v>
      </c>
      <c r="C426" s="185" t="s">
        <v>1</v>
      </c>
      <c r="D426" s="186" t="s">
        <v>59</v>
      </c>
      <c r="E426" s="186" t="s">
        <v>59</v>
      </c>
      <c r="F426" s="187" t="s">
        <v>59</v>
      </c>
      <c r="G426" s="187" t="s">
        <v>59</v>
      </c>
      <c r="H426" s="187"/>
      <c r="I426" s="18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AB426" s="175" t="str">
        <f t="shared" si="160"/>
        <v>Patric Pfeiffer</v>
      </c>
    </row>
    <row r="427" spans="1:28" ht="10.5" customHeight="1" x14ac:dyDescent="0.2">
      <c r="A427" s="198">
        <v>6</v>
      </c>
      <c r="B427" s="199" t="s">
        <v>151</v>
      </c>
      <c r="C427" s="185" t="s">
        <v>1</v>
      </c>
      <c r="D427" s="186" t="s">
        <v>59</v>
      </c>
      <c r="E427" s="186" t="s">
        <v>59</v>
      </c>
      <c r="F427" s="187" t="s">
        <v>59</v>
      </c>
      <c r="G427" s="187" t="s">
        <v>59</v>
      </c>
      <c r="H427" s="187"/>
      <c r="I427" s="18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61">B427</f>
        <v>Jeffrey Gouweleeuw (A)</v>
      </c>
    </row>
    <row r="428" spans="1:28" ht="10.5" customHeight="1" x14ac:dyDescent="0.2">
      <c r="A428" s="198">
        <v>19</v>
      </c>
      <c r="B428" s="199" t="s">
        <v>190</v>
      </c>
      <c r="C428" s="185" t="s">
        <v>1</v>
      </c>
      <c r="D428" s="186" t="s">
        <v>59</v>
      </c>
      <c r="E428" s="186" t="s">
        <v>59</v>
      </c>
      <c r="F428" s="187" t="s">
        <v>59</v>
      </c>
      <c r="G428" s="187" t="s">
        <v>59</v>
      </c>
      <c r="H428" s="187"/>
      <c r="I428" s="18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33" si="162">B428</f>
        <v>Felix Uduokhai</v>
      </c>
    </row>
    <row r="429" spans="1:28" ht="10.5" customHeight="1" x14ac:dyDescent="0.2">
      <c r="A429" s="198">
        <v>22</v>
      </c>
      <c r="B429" s="199" t="s">
        <v>201</v>
      </c>
      <c r="C429" s="185" t="s">
        <v>1</v>
      </c>
      <c r="D429" s="186" t="s">
        <v>59</v>
      </c>
      <c r="E429" s="186" t="s">
        <v>59</v>
      </c>
      <c r="F429" s="187" t="s">
        <v>59</v>
      </c>
      <c r="G429" s="187" t="s">
        <v>59</v>
      </c>
      <c r="H429" s="187"/>
      <c r="I429" s="18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62"/>
        <v>Iago (A)</v>
      </c>
    </row>
    <row r="430" spans="1:28" ht="10.5" customHeight="1" x14ac:dyDescent="0.2">
      <c r="A430" s="198">
        <v>23</v>
      </c>
      <c r="B430" s="199" t="s">
        <v>311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62"/>
        <v>Maximilian Bauer</v>
      </c>
    </row>
    <row r="431" spans="1:28" ht="10.5" customHeight="1" x14ac:dyDescent="0.2">
      <c r="A431" s="198">
        <v>26</v>
      </c>
      <c r="B431" s="199" t="s">
        <v>508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si="162"/>
        <v>Frederik Winther (A)</v>
      </c>
    </row>
    <row r="432" spans="1:28" ht="10.5" customHeight="1" x14ac:dyDescent="0.2">
      <c r="A432" s="198">
        <v>32</v>
      </c>
      <c r="B432" s="199" t="s">
        <v>509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2"/>
        <v>Raphael Framberger</v>
      </c>
    </row>
    <row r="433" spans="1:28" ht="10.5" customHeight="1" x14ac:dyDescent="0.2">
      <c r="A433" s="198">
        <v>38</v>
      </c>
      <c r="B433" s="199" t="s">
        <v>631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2"/>
        <v>David Čolina (A)</v>
      </c>
    </row>
    <row r="434" spans="1:28" ht="10.5" customHeight="1" x14ac:dyDescent="0.2">
      <c r="A434" s="198">
        <v>39</v>
      </c>
      <c r="B434" s="199" t="s">
        <v>652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6" si="163">B434</f>
        <v>Japhet Tanganga (A)</v>
      </c>
    </row>
    <row r="435" spans="1:28" ht="10.5" customHeight="1" x14ac:dyDescent="0.2">
      <c r="A435" s="198">
        <v>42</v>
      </c>
      <c r="B435" s="199" t="s">
        <v>368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4">B435</f>
        <v>Aaron Zehnter</v>
      </c>
    </row>
    <row r="436" spans="1:28" ht="10.5" customHeight="1" x14ac:dyDescent="0.2">
      <c r="A436" s="198">
        <v>43</v>
      </c>
      <c r="B436" s="199" t="s">
        <v>653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3"/>
        <v>Kevin Mbabu (A)</v>
      </c>
    </row>
    <row r="437" spans="1:28" ht="10.5" customHeight="1" x14ac:dyDescent="0.2">
      <c r="A437" s="200">
        <v>8</v>
      </c>
      <c r="B437" s="190" t="s">
        <v>163</v>
      </c>
      <c r="C437" s="190" t="s">
        <v>2</v>
      </c>
      <c r="D437" s="191" t="s">
        <v>59</v>
      </c>
      <c r="E437" s="191" t="s">
        <v>59</v>
      </c>
      <c r="F437" s="192" t="s">
        <v>59</v>
      </c>
      <c r="G437" s="192" t="s">
        <v>59</v>
      </c>
      <c r="H437" s="192"/>
      <c r="I437" s="191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>B437</f>
        <v>Elvis Rexhbecaj</v>
      </c>
    </row>
    <row r="438" spans="1:28" ht="10.5" customHeight="1" x14ac:dyDescent="0.2">
      <c r="A438" s="200">
        <v>10</v>
      </c>
      <c r="B438" s="190" t="s">
        <v>295</v>
      </c>
      <c r="C438" s="190" t="s">
        <v>2</v>
      </c>
      <c r="D438" s="191" t="s">
        <v>59</v>
      </c>
      <c r="E438" s="191" t="s">
        <v>59</v>
      </c>
      <c r="F438" s="192" t="s">
        <v>59</v>
      </c>
      <c r="G438" s="192" t="s">
        <v>59</v>
      </c>
      <c r="H438" s="192"/>
      <c r="I438" s="191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ref="AB438:AB440" si="165">B438</f>
        <v>Arne Maier</v>
      </c>
    </row>
    <row r="439" spans="1:28" ht="10.5" customHeight="1" x14ac:dyDescent="0.2">
      <c r="A439" s="200">
        <v>14</v>
      </c>
      <c r="B439" s="190" t="s">
        <v>510</v>
      </c>
      <c r="C439" s="190" t="s">
        <v>2</v>
      </c>
      <c r="D439" s="191" t="s">
        <v>59</v>
      </c>
      <c r="E439" s="191" t="s">
        <v>59</v>
      </c>
      <c r="F439" s="192" t="s">
        <v>59</v>
      </c>
      <c r="G439" s="192" t="s">
        <v>59</v>
      </c>
      <c r="H439" s="192"/>
      <c r="I439" s="191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6">B439</f>
        <v>Masaya Okugawa (A)</v>
      </c>
    </row>
    <row r="440" spans="1:28" ht="10.5" customHeight="1" x14ac:dyDescent="0.2">
      <c r="A440" s="200">
        <v>16</v>
      </c>
      <c r="B440" s="190" t="s">
        <v>203</v>
      </c>
      <c r="C440" s="190" t="s">
        <v>2</v>
      </c>
      <c r="D440" s="191" t="s">
        <v>59</v>
      </c>
      <c r="E440" s="191" t="s">
        <v>59</v>
      </c>
      <c r="F440" s="192" t="s">
        <v>59</v>
      </c>
      <c r="G440" s="192" t="s">
        <v>59</v>
      </c>
      <c r="H440" s="192"/>
      <c r="I440" s="191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5"/>
        <v>Ruben Vargas (A)</v>
      </c>
    </row>
    <row r="441" spans="1:28" ht="10.5" customHeight="1" x14ac:dyDescent="0.2">
      <c r="A441" s="200">
        <v>18</v>
      </c>
      <c r="B441" s="190" t="s">
        <v>511</v>
      </c>
      <c r="C441" s="190" t="s">
        <v>2</v>
      </c>
      <c r="D441" s="191" t="s">
        <v>59</v>
      </c>
      <c r="E441" s="191" t="s">
        <v>59</v>
      </c>
      <c r="F441" s="192" t="s">
        <v>59</v>
      </c>
      <c r="G441" s="192" t="s">
        <v>59</v>
      </c>
      <c r="H441" s="192"/>
      <c r="I441" s="191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67">B441</f>
        <v>Tim Breithaupt</v>
      </c>
    </row>
    <row r="442" spans="1:28" ht="10.5" customHeight="1" x14ac:dyDescent="0.2">
      <c r="A442" s="200">
        <v>24</v>
      </c>
      <c r="B442" s="190" t="s">
        <v>168</v>
      </c>
      <c r="C442" s="190" t="s">
        <v>2</v>
      </c>
      <c r="D442" s="191" t="s">
        <v>59</v>
      </c>
      <c r="E442" s="191" t="s">
        <v>59</v>
      </c>
      <c r="F442" s="192" t="s">
        <v>59</v>
      </c>
      <c r="G442" s="192" t="s">
        <v>59</v>
      </c>
      <c r="H442" s="192"/>
      <c r="I442" s="191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7"/>
        <v>Fredrik Jensen (A)</v>
      </c>
    </row>
    <row r="443" spans="1:28" ht="10.5" customHeight="1" x14ac:dyDescent="0.2">
      <c r="A443" s="200">
        <v>27</v>
      </c>
      <c r="B443" s="190" t="s">
        <v>404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ref="AB443" si="168">B443</f>
        <v>Arne Engels (A)</v>
      </c>
    </row>
    <row r="444" spans="1:28" ht="10.5" customHeight="1" x14ac:dyDescent="0.2">
      <c r="A444" s="200">
        <v>30</v>
      </c>
      <c r="B444" s="190" t="s">
        <v>296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7"/>
        <v>Niklas Dorsch</v>
      </c>
    </row>
    <row r="445" spans="1:28" ht="10.5" customHeight="1" x14ac:dyDescent="0.2">
      <c r="A445" s="200">
        <v>36</v>
      </c>
      <c r="B445" s="190" t="s">
        <v>512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9">B445</f>
        <v>Mert Kömür</v>
      </c>
    </row>
    <row r="446" spans="1:28" ht="10.5" customHeight="1" x14ac:dyDescent="0.2">
      <c r="A446" s="201">
        <v>7</v>
      </c>
      <c r="B446" s="195" t="s">
        <v>513</v>
      </c>
      <c r="C446" s="195" t="s">
        <v>3</v>
      </c>
      <c r="D446" s="196" t="s">
        <v>59</v>
      </c>
      <c r="E446" s="196" t="s">
        <v>59</v>
      </c>
      <c r="F446" s="197" t="s">
        <v>59</v>
      </c>
      <c r="G446" s="197" t="s">
        <v>59</v>
      </c>
      <c r="H446" s="197"/>
      <c r="I446" s="19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Dion Beljo (A)</v>
      </c>
    </row>
    <row r="447" spans="1:28" ht="10.5" customHeight="1" x14ac:dyDescent="0.2">
      <c r="A447" s="201">
        <v>9</v>
      </c>
      <c r="B447" s="195" t="s">
        <v>632</v>
      </c>
      <c r="C447" s="195" t="s">
        <v>3</v>
      </c>
      <c r="D447" s="196" t="s">
        <v>59</v>
      </c>
      <c r="E447" s="196" t="s">
        <v>59</v>
      </c>
      <c r="F447" s="197" t="s">
        <v>59</v>
      </c>
      <c r="G447" s="197" t="s">
        <v>59</v>
      </c>
      <c r="H447" s="197"/>
      <c r="I447" s="19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" si="170">B447</f>
        <v>Ermedin Demirović (A)</v>
      </c>
    </row>
    <row r="448" spans="1:28" ht="10.5" customHeight="1" x14ac:dyDescent="0.2">
      <c r="A448" s="201">
        <v>20</v>
      </c>
      <c r="B448" s="195" t="s">
        <v>514</v>
      </c>
      <c r="C448" s="195" t="s">
        <v>3</v>
      </c>
      <c r="D448" s="196" t="s">
        <v>59</v>
      </c>
      <c r="E448" s="196" t="s">
        <v>59</v>
      </c>
      <c r="F448" s="197" t="s">
        <v>59</v>
      </c>
      <c r="G448" s="197" t="s">
        <v>59</v>
      </c>
      <c r="H448" s="197"/>
      <c r="I448" s="196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49" si="171">B448</f>
        <v>Sven Michel</v>
      </c>
    </row>
    <row r="449" spans="1:28" ht="10.5" customHeight="1" x14ac:dyDescent="0.2">
      <c r="A449" s="201">
        <v>21</v>
      </c>
      <c r="B449" s="195" t="s">
        <v>515</v>
      </c>
      <c r="C449" s="195" t="s">
        <v>3</v>
      </c>
      <c r="D449" s="196" t="s">
        <v>59</v>
      </c>
      <c r="E449" s="196" t="s">
        <v>59</v>
      </c>
      <c r="F449" s="197" t="s">
        <v>59</v>
      </c>
      <c r="G449" s="197" t="s">
        <v>59</v>
      </c>
      <c r="H449" s="197"/>
      <c r="I449" s="196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71"/>
        <v>Phillip Tietz</v>
      </c>
    </row>
    <row r="450" spans="1:28" ht="10.5" customHeight="1" x14ac:dyDescent="0.2">
      <c r="A450" s="201">
        <v>34</v>
      </c>
      <c r="B450" s="195" t="s">
        <v>418</v>
      </c>
      <c r="C450" s="195" t="s">
        <v>3</v>
      </c>
      <c r="D450" s="196" t="s">
        <v>59</v>
      </c>
      <c r="E450" s="196" t="s">
        <v>59</v>
      </c>
      <c r="F450" s="197" t="s">
        <v>59</v>
      </c>
      <c r="G450" s="197" t="s">
        <v>59</v>
      </c>
      <c r="H450" s="197"/>
      <c r="I450" s="196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:AB451" si="172">B450</f>
        <v>Nathanael Mbuku (A)</v>
      </c>
    </row>
    <row r="451" spans="1:28" ht="10.5" customHeight="1" x14ac:dyDescent="0.2">
      <c r="A451" s="201">
        <v>48</v>
      </c>
      <c r="B451" s="195" t="s">
        <v>407</v>
      </c>
      <c r="C451" s="195" t="s">
        <v>3</v>
      </c>
      <c r="D451" s="196" t="s">
        <v>59</v>
      </c>
      <c r="E451" s="196" t="s">
        <v>59</v>
      </c>
      <c r="F451" s="197" t="s">
        <v>59</v>
      </c>
      <c r="G451" s="197" t="s">
        <v>59</v>
      </c>
      <c r="H451" s="197"/>
      <c r="I451" s="196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2"/>
        <v>Irvin Cardona (A)</v>
      </c>
    </row>
    <row r="452" spans="1:28" ht="15" customHeight="1" thickBot="1" x14ac:dyDescent="0.25">
      <c r="A452" s="219" t="s">
        <v>229</v>
      </c>
      <c r="B452" s="219"/>
      <c r="C452" s="219"/>
      <c r="D452" s="219"/>
      <c r="E452" s="219"/>
      <c r="F452" s="219"/>
      <c r="G452" s="219"/>
      <c r="H452" s="219"/>
      <c r="I452" s="219"/>
      <c r="J452" s="10"/>
      <c r="K452" s="176">
        <v>12</v>
      </c>
      <c r="L452" s="176">
        <v>12</v>
      </c>
      <c r="M452" s="176">
        <v>12</v>
      </c>
      <c r="N452" s="176">
        <v>12</v>
      </c>
      <c r="O452" s="176">
        <v>12</v>
      </c>
      <c r="P452" s="176">
        <v>12</v>
      </c>
      <c r="Q452" s="176">
        <v>12</v>
      </c>
      <c r="R452" s="176">
        <v>12</v>
      </c>
      <c r="S452" s="176">
        <v>12</v>
      </c>
      <c r="T452" s="176">
        <v>12</v>
      </c>
      <c r="U452" s="176">
        <v>12</v>
      </c>
      <c r="V452" s="176">
        <v>12</v>
      </c>
      <c r="W452" s="176">
        <v>12</v>
      </c>
      <c r="X452" s="176">
        <v>12</v>
      </c>
      <c r="Y452" s="176">
        <v>12</v>
      </c>
      <c r="Z452" s="217"/>
      <c r="AB452" s="175" t="str">
        <f>A452</f>
        <v>VfB Stuttgart</v>
      </c>
    </row>
    <row r="453" spans="1:28" s="113" customFormat="1" ht="10.5" customHeight="1" x14ac:dyDescent="0.2">
      <c r="A453" s="177">
        <v>1</v>
      </c>
      <c r="B453" s="178" t="s">
        <v>246</v>
      </c>
      <c r="C453" s="178" t="s">
        <v>0</v>
      </c>
      <c r="D453" s="179" t="s">
        <v>59</v>
      </c>
      <c r="E453" s="179" t="s">
        <v>59</v>
      </c>
      <c r="F453" s="180" t="s">
        <v>59</v>
      </c>
      <c r="G453" s="180" t="s">
        <v>59</v>
      </c>
      <c r="H453" s="180"/>
      <c r="I453" s="179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72"/>
      <c r="AB453" s="175" t="str">
        <f t="shared" ref="AB453:AB455" si="173">B453</f>
        <v>Fabian Bredlow</v>
      </c>
    </row>
    <row r="454" spans="1:28" s="113" customFormat="1" ht="10.5" customHeight="1" x14ac:dyDescent="0.2">
      <c r="A454" s="177">
        <v>33</v>
      </c>
      <c r="B454" s="178" t="s">
        <v>516</v>
      </c>
      <c r="C454" s="178" t="s">
        <v>0</v>
      </c>
      <c r="D454" s="179" t="s">
        <v>59</v>
      </c>
      <c r="E454" s="179" t="s">
        <v>59</v>
      </c>
      <c r="F454" s="180" t="s">
        <v>59</v>
      </c>
      <c r="G454" s="180" t="s">
        <v>59</v>
      </c>
      <c r="H454" s="180"/>
      <c r="I454" s="179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72"/>
      <c r="AB454" s="175" t="str">
        <f t="shared" si="173"/>
        <v>Alexander Nübel</v>
      </c>
    </row>
    <row r="455" spans="1:28" s="113" customFormat="1" ht="10.5" customHeight="1" x14ac:dyDescent="0.2">
      <c r="A455" s="177">
        <v>41</v>
      </c>
      <c r="B455" s="178" t="s">
        <v>517</v>
      </c>
      <c r="C455" s="178" t="s">
        <v>0</v>
      </c>
      <c r="D455" s="179" t="s">
        <v>59</v>
      </c>
      <c r="E455" s="179" t="s">
        <v>59</v>
      </c>
      <c r="F455" s="180" t="s">
        <v>59</v>
      </c>
      <c r="G455" s="180" t="s">
        <v>59</v>
      </c>
      <c r="H455" s="180"/>
      <c r="I455" s="179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72"/>
      <c r="AB455" s="175" t="str">
        <f t="shared" si="173"/>
        <v>Dennis Seimen</v>
      </c>
    </row>
    <row r="456" spans="1:28" s="113" customFormat="1" ht="10.5" customHeight="1" x14ac:dyDescent="0.2">
      <c r="A456" s="177">
        <v>42</v>
      </c>
      <c r="B456" s="178" t="s">
        <v>317</v>
      </c>
      <c r="C456" s="178" t="s">
        <v>0</v>
      </c>
      <c r="D456" s="179" t="s">
        <v>59</v>
      </c>
      <c r="E456" s="179" t="s">
        <v>59</v>
      </c>
      <c r="F456" s="180" t="s">
        <v>59</v>
      </c>
      <c r="G456" s="180" t="s">
        <v>59</v>
      </c>
      <c r="H456" s="180"/>
      <c r="I456" s="179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72"/>
      <c r="AB456" s="175" t="str">
        <f t="shared" ref="AB456" si="174">B456</f>
        <v>Florian Schock</v>
      </c>
    </row>
    <row r="457" spans="1:28" s="113" customFormat="1" ht="10.5" customHeight="1" x14ac:dyDescent="0.2">
      <c r="A457" s="198">
        <v>2</v>
      </c>
      <c r="B457" s="199" t="s">
        <v>247</v>
      </c>
      <c r="C457" s="185" t="s">
        <v>1</v>
      </c>
      <c r="D457" s="186" t="s">
        <v>59</v>
      </c>
      <c r="E457" s="186" t="s">
        <v>59</v>
      </c>
      <c r="F457" s="187" t="s">
        <v>59</v>
      </c>
      <c r="G457" s="187" t="s">
        <v>59</v>
      </c>
      <c r="H457" s="187"/>
      <c r="I457" s="186"/>
      <c r="J457" s="181"/>
      <c r="K457" s="182"/>
      <c r="L457" s="182">
        <v>3</v>
      </c>
      <c r="M457" s="182"/>
      <c r="N457" s="182"/>
      <c r="O457" s="182"/>
      <c r="P457" s="182"/>
      <c r="Q457" s="182"/>
      <c r="R457" s="182"/>
      <c r="S457" s="182">
        <v>4</v>
      </c>
      <c r="T457" s="182"/>
      <c r="U457" s="182"/>
      <c r="V457" s="182"/>
      <c r="W457" s="182"/>
      <c r="X457" s="182"/>
      <c r="Y457" s="182"/>
      <c r="Z457" s="172"/>
      <c r="AB457" s="175" t="str">
        <f t="shared" ref="AB457" si="175">B457</f>
        <v>Waldemar Anton</v>
      </c>
    </row>
    <row r="458" spans="1:28" s="113" customFormat="1" ht="10.5" customHeight="1" x14ac:dyDescent="0.2">
      <c r="A458" s="198">
        <v>4</v>
      </c>
      <c r="B458" s="199" t="s">
        <v>369</v>
      </c>
      <c r="C458" s="185" t="s">
        <v>1</v>
      </c>
      <c r="D458" s="186" t="s">
        <v>59</v>
      </c>
      <c r="E458" s="186" t="s">
        <v>59</v>
      </c>
      <c r="F458" s="187" t="s">
        <v>59</v>
      </c>
      <c r="G458" s="187" t="s">
        <v>59</v>
      </c>
      <c r="H458" s="187"/>
      <c r="I458" s="18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72"/>
      <c r="AB458" s="175" t="str">
        <f t="shared" ref="AB458:AB462" si="176">B458</f>
        <v>Josha Vagnoman</v>
      </c>
    </row>
    <row r="459" spans="1:28" s="113" customFormat="1" ht="10.5" customHeight="1" x14ac:dyDescent="0.2">
      <c r="A459" s="198">
        <v>7</v>
      </c>
      <c r="B459" s="199" t="s">
        <v>149</v>
      </c>
      <c r="C459" s="185" t="s">
        <v>1</v>
      </c>
      <c r="D459" s="186" t="s">
        <v>59</v>
      </c>
      <c r="E459" s="186" t="s">
        <v>59</v>
      </c>
      <c r="F459" s="187" t="s">
        <v>59</v>
      </c>
      <c r="G459" s="187" t="s">
        <v>59</v>
      </c>
      <c r="H459" s="187"/>
      <c r="I459" s="18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72"/>
      <c r="AB459" s="175" t="str">
        <f t="shared" si="176"/>
        <v>Maximilian Mittelstädt</v>
      </c>
    </row>
    <row r="460" spans="1:28" s="113" customFormat="1" ht="10.5" customHeight="1" x14ac:dyDescent="0.2">
      <c r="A460" s="198">
        <v>15</v>
      </c>
      <c r="B460" s="199" t="s">
        <v>248</v>
      </c>
      <c r="C460" s="185" t="s">
        <v>1</v>
      </c>
      <c r="D460" s="186" t="s">
        <v>59</v>
      </c>
      <c r="E460" s="186" t="s">
        <v>59</v>
      </c>
      <c r="F460" s="187" t="s">
        <v>59</v>
      </c>
      <c r="G460" s="187" t="s">
        <v>59</v>
      </c>
      <c r="H460" s="187"/>
      <c r="I460" s="18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72"/>
      <c r="AB460" s="175" t="str">
        <f t="shared" si="176"/>
        <v>Pascal Stenzel</v>
      </c>
    </row>
    <row r="461" spans="1:28" s="113" customFormat="1" ht="10.5" customHeight="1" x14ac:dyDescent="0.2">
      <c r="A461" s="198">
        <v>20</v>
      </c>
      <c r="B461" s="199" t="s">
        <v>599</v>
      </c>
      <c r="C461" s="185" t="s">
        <v>1</v>
      </c>
      <c r="D461" s="186" t="s">
        <v>59</v>
      </c>
      <c r="E461" s="186" t="s">
        <v>59</v>
      </c>
      <c r="F461" s="187" t="s">
        <v>59</v>
      </c>
      <c r="G461" s="187" t="s">
        <v>59</v>
      </c>
      <c r="H461" s="187"/>
      <c r="I461" s="18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>B461</f>
        <v>Leonidas Stergiou (A)</v>
      </c>
    </row>
    <row r="462" spans="1:28" s="113" customFormat="1" ht="10.5" customHeight="1" x14ac:dyDescent="0.2">
      <c r="A462" s="198">
        <v>21</v>
      </c>
      <c r="B462" s="199" t="s">
        <v>284</v>
      </c>
      <c r="C462" s="185" t="s">
        <v>1</v>
      </c>
      <c r="D462" s="186" t="s">
        <v>59</v>
      </c>
      <c r="E462" s="186" t="s">
        <v>59</v>
      </c>
      <c r="F462" s="187" t="s">
        <v>59</v>
      </c>
      <c r="G462" s="187" t="s">
        <v>59</v>
      </c>
      <c r="H462" s="187"/>
      <c r="I462" s="186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6"/>
        <v>Hikori Ito (A)</v>
      </c>
    </row>
    <row r="463" spans="1:28" s="113" customFormat="1" ht="10.5" customHeight="1" x14ac:dyDescent="0.2">
      <c r="A463" s="198">
        <v>23</v>
      </c>
      <c r="B463" s="199" t="s">
        <v>395</v>
      </c>
      <c r="C463" s="185" t="s">
        <v>1</v>
      </c>
      <c r="D463" s="186" t="s">
        <v>59</v>
      </c>
      <c r="E463" s="186" t="s">
        <v>59</v>
      </c>
      <c r="F463" s="187" t="s">
        <v>59</v>
      </c>
      <c r="G463" s="187" t="s">
        <v>59</v>
      </c>
      <c r="H463" s="187"/>
      <c r="I463" s="186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" si="177">B463</f>
        <v>Dan-Axel Zagadou (A)</v>
      </c>
    </row>
    <row r="464" spans="1:28" s="113" customFormat="1" ht="10.5" customHeight="1" x14ac:dyDescent="0.2">
      <c r="A464" s="198">
        <v>29</v>
      </c>
      <c r="B464" s="199" t="s">
        <v>654</v>
      </c>
      <c r="C464" s="185" t="s">
        <v>1</v>
      </c>
      <c r="D464" s="186" t="s">
        <v>59</v>
      </c>
      <c r="E464" s="186" t="s">
        <v>59</v>
      </c>
      <c r="F464" s="187" t="s">
        <v>59</v>
      </c>
      <c r="G464" s="187" t="s">
        <v>59</v>
      </c>
      <c r="H464" s="187"/>
      <c r="I464" s="186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:AB465" si="178">B464</f>
        <v>Anthony Rouault (A)</v>
      </c>
    </row>
    <row r="465" spans="1:28" s="113" customFormat="1" ht="10.5" customHeight="1" x14ac:dyDescent="0.2">
      <c r="A465" s="200">
        <v>6</v>
      </c>
      <c r="B465" s="190" t="s">
        <v>287</v>
      </c>
      <c r="C465" s="190" t="s">
        <v>2</v>
      </c>
      <c r="D465" s="191" t="s">
        <v>59</v>
      </c>
      <c r="E465" s="191" t="s">
        <v>59</v>
      </c>
      <c r="F465" s="192" t="s">
        <v>59</v>
      </c>
      <c r="G465" s="192" t="s">
        <v>59</v>
      </c>
      <c r="H465" s="192"/>
      <c r="I465" s="191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8"/>
        <v>Angelo Stiller</v>
      </c>
    </row>
    <row r="466" spans="1:28" s="113" customFormat="1" ht="10.5" customHeight="1" x14ac:dyDescent="0.2">
      <c r="A466" s="200">
        <v>8</v>
      </c>
      <c r="B466" s="190" t="s">
        <v>312</v>
      </c>
      <c r="C466" s="190" t="s">
        <v>2</v>
      </c>
      <c r="D466" s="191" t="s">
        <v>59</v>
      </c>
      <c r="E466" s="191" t="s">
        <v>59</v>
      </c>
      <c r="F466" s="192" t="s">
        <v>59</v>
      </c>
      <c r="G466" s="192" t="s">
        <v>59</v>
      </c>
      <c r="H466" s="192"/>
      <c r="I466" s="191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5" si="179">B466</f>
        <v>Enzo Millot (A)</v>
      </c>
    </row>
    <row r="467" spans="1:28" s="113" customFormat="1" ht="10.5" customHeight="1" x14ac:dyDescent="0.2">
      <c r="A467" s="200">
        <v>10</v>
      </c>
      <c r="B467" s="190" t="s">
        <v>518</v>
      </c>
      <c r="C467" s="190" t="s">
        <v>2</v>
      </c>
      <c r="D467" s="191" t="s">
        <v>59</v>
      </c>
      <c r="E467" s="191" t="s">
        <v>59</v>
      </c>
      <c r="F467" s="192" t="s">
        <v>59</v>
      </c>
      <c r="G467" s="192" t="s">
        <v>59</v>
      </c>
      <c r="H467" s="192"/>
      <c r="I467" s="191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0">B467</f>
        <v>Wooyeong Jeong (A)</v>
      </c>
    </row>
    <row r="468" spans="1:28" s="113" customFormat="1" ht="10.5" customHeight="1" x14ac:dyDescent="0.2">
      <c r="A468" s="200">
        <v>16</v>
      </c>
      <c r="B468" s="190" t="s">
        <v>249</v>
      </c>
      <c r="C468" s="190" t="s">
        <v>2</v>
      </c>
      <c r="D468" s="191" t="s">
        <v>59</v>
      </c>
      <c r="E468" s="191" t="s">
        <v>59</v>
      </c>
      <c r="F468" s="192" t="s">
        <v>59</v>
      </c>
      <c r="G468" s="192" t="s">
        <v>59</v>
      </c>
      <c r="H468" s="192"/>
      <c r="I468" s="191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>B468</f>
        <v>Atakan Karazor</v>
      </c>
    </row>
    <row r="469" spans="1:28" s="113" customFormat="1" ht="10.5" customHeight="1" x14ac:dyDescent="0.2">
      <c r="A469" s="200">
        <v>17</v>
      </c>
      <c r="B469" s="190" t="s">
        <v>279</v>
      </c>
      <c r="C469" s="190" t="s">
        <v>2</v>
      </c>
      <c r="D469" s="191" t="s">
        <v>59</v>
      </c>
      <c r="E469" s="191" t="s">
        <v>59</v>
      </c>
      <c r="F469" s="192" t="s">
        <v>59</v>
      </c>
      <c r="G469" s="192" t="s">
        <v>59</v>
      </c>
      <c r="H469" s="192"/>
      <c r="I469" s="191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>B469</f>
        <v>Genki Haraguchi (A)</v>
      </c>
    </row>
    <row r="470" spans="1:28" s="113" customFormat="1" ht="10.5" customHeight="1" x14ac:dyDescent="0.2">
      <c r="A470" s="200">
        <v>25</v>
      </c>
      <c r="B470" s="190" t="s">
        <v>251</v>
      </c>
      <c r="C470" s="190" t="s">
        <v>2</v>
      </c>
      <c r="D470" s="191" t="s">
        <v>59</v>
      </c>
      <c r="E470" s="191" t="s">
        <v>59</v>
      </c>
      <c r="F470" s="192" t="s">
        <v>59</v>
      </c>
      <c r="G470" s="192" t="s">
        <v>59</v>
      </c>
      <c r="H470" s="192"/>
      <c r="I470" s="191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9"/>
        <v>Lilian Egloff</v>
      </c>
    </row>
    <row r="471" spans="1:28" s="113" customFormat="1" ht="10.5" customHeight="1" x14ac:dyDescent="0.2">
      <c r="A471" s="200">
        <v>27</v>
      </c>
      <c r="B471" s="190" t="s">
        <v>282</v>
      </c>
      <c r="C471" s="190" t="s">
        <v>2</v>
      </c>
      <c r="D471" s="191" t="s">
        <v>59</v>
      </c>
      <c r="E471" s="191" t="s">
        <v>59</v>
      </c>
      <c r="F471" s="192" t="s">
        <v>59</v>
      </c>
      <c r="G471" s="192" t="s">
        <v>59</v>
      </c>
      <c r="H471" s="192"/>
      <c r="I471" s="191"/>
      <c r="J471" s="181"/>
      <c r="K471" s="182">
        <v>5</v>
      </c>
      <c r="L471" s="182">
        <v>6</v>
      </c>
      <c r="M471" s="182"/>
      <c r="N471" s="182"/>
      <c r="O471" s="182"/>
      <c r="P471" s="182"/>
      <c r="Q471" s="182"/>
      <c r="R471" s="182"/>
      <c r="S471" s="182">
        <v>6</v>
      </c>
      <c r="T471" s="182"/>
      <c r="U471" s="182"/>
      <c r="V471" s="182"/>
      <c r="W471" s="182"/>
      <c r="X471" s="182"/>
      <c r="Y471" s="182"/>
      <c r="Z471" s="172"/>
      <c r="AB471" s="175" t="str">
        <f t="shared" si="179"/>
        <v>Chris Führich</v>
      </c>
    </row>
    <row r="472" spans="1:28" s="113" customFormat="1" ht="10.5" customHeight="1" x14ac:dyDescent="0.2">
      <c r="A472" s="200">
        <v>28</v>
      </c>
      <c r="B472" s="190" t="s">
        <v>283</v>
      </c>
      <c r="C472" s="190" t="s">
        <v>2</v>
      </c>
      <c r="D472" s="191" t="s">
        <v>59</v>
      </c>
      <c r="E472" s="191" t="s">
        <v>59</v>
      </c>
      <c r="F472" s="192" t="s">
        <v>59</v>
      </c>
      <c r="G472" s="192" t="s">
        <v>59</v>
      </c>
      <c r="H472" s="192"/>
      <c r="I472" s="191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9"/>
        <v>Nikolas Nartey (A)</v>
      </c>
    </row>
    <row r="473" spans="1:28" s="113" customFormat="1" ht="10.5" customHeight="1" x14ac:dyDescent="0.2">
      <c r="A473" s="200">
        <v>32</v>
      </c>
      <c r="B473" s="190" t="s">
        <v>519</v>
      </c>
      <c r="C473" s="190" t="s">
        <v>2</v>
      </c>
      <c r="D473" s="191" t="s">
        <v>59</v>
      </c>
      <c r="E473" s="191" t="s">
        <v>59</v>
      </c>
      <c r="F473" s="192" t="s">
        <v>59</v>
      </c>
      <c r="G473" s="192" t="s">
        <v>59</v>
      </c>
      <c r="H473" s="192"/>
      <c r="I473" s="191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:AB474" si="181">B473</f>
        <v>Roberto Massimo</v>
      </c>
    </row>
    <row r="474" spans="1:28" s="113" customFormat="1" ht="10.5" customHeight="1" x14ac:dyDescent="0.2">
      <c r="A474" s="200">
        <v>36</v>
      </c>
      <c r="B474" s="190" t="s">
        <v>400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si="181"/>
        <v>Laurin Ulrich</v>
      </c>
    </row>
    <row r="475" spans="1:28" s="113" customFormat="1" ht="10.5" customHeight="1" x14ac:dyDescent="0.2">
      <c r="A475" s="200">
        <v>40</v>
      </c>
      <c r="B475" s="190" t="s">
        <v>656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79"/>
        <v>Luca Raimund</v>
      </c>
    </row>
    <row r="476" spans="1:28" s="113" customFormat="1" ht="10.5" customHeight="1" x14ac:dyDescent="0.2">
      <c r="A476" s="201">
        <v>9</v>
      </c>
      <c r="B476" s="195" t="s">
        <v>396</v>
      </c>
      <c r="C476" s="195" t="s">
        <v>3</v>
      </c>
      <c r="D476" s="196" t="s">
        <v>59</v>
      </c>
      <c r="E476" s="196" t="s">
        <v>59</v>
      </c>
      <c r="F476" s="197" t="s">
        <v>59</v>
      </c>
      <c r="G476" s="197" t="s">
        <v>59</v>
      </c>
      <c r="H476" s="197"/>
      <c r="I476" s="196"/>
      <c r="J476" s="181"/>
      <c r="K476" s="182"/>
      <c r="L476" s="182"/>
      <c r="M476" s="182">
        <v>10</v>
      </c>
      <c r="N476" s="182"/>
      <c r="O476" s="182"/>
      <c r="P476" s="182">
        <v>11</v>
      </c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78" si="182">B476</f>
        <v>Serhou Guirassy (A)</v>
      </c>
    </row>
    <row r="477" spans="1:28" s="113" customFormat="1" ht="10.5" customHeight="1" x14ac:dyDescent="0.2">
      <c r="A477" s="201">
        <v>14</v>
      </c>
      <c r="B477" s="195" t="s">
        <v>281</v>
      </c>
      <c r="C477" s="195" t="s">
        <v>3</v>
      </c>
      <c r="D477" s="196" t="s">
        <v>59</v>
      </c>
      <c r="E477" s="196" t="s">
        <v>59</v>
      </c>
      <c r="F477" s="197" t="s">
        <v>59</v>
      </c>
      <c r="G477" s="197" t="s">
        <v>59</v>
      </c>
      <c r="H477" s="197"/>
      <c r="I477" s="196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82"/>
        <v>Silas Katompa Mvumpa (A)</v>
      </c>
    </row>
    <row r="478" spans="1:28" s="113" customFormat="1" ht="10.5" customHeight="1" x14ac:dyDescent="0.2">
      <c r="A478" s="201">
        <v>18</v>
      </c>
      <c r="B478" s="195" t="s">
        <v>520</v>
      </c>
      <c r="C478" s="195" t="s">
        <v>3</v>
      </c>
      <c r="D478" s="196" t="s">
        <v>59</v>
      </c>
      <c r="E478" s="196" t="s">
        <v>59</v>
      </c>
      <c r="F478" s="197" t="s">
        <v>59</v>
      </c>
      <c r="G478" s="197" t="s">
        <v>59</v>
      </c>
      <c r="H478" s="197"/>
      <c r="I478" s="196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82"/>
        <v>Jamie Leweling</v>
      </c>
    </row>
    <row r="479" spans="1:28" s="113" customFormat="1" ht="10.5" customHeight="1" x14ac:dyDescent="0.2">
      <c r="A479" s="201">
        <v>19</v>
      </c>
      <c r="B479" s="195" t="s">
        <v>629</v>
      </c>
      <c r="C479" s="195" t="s">
        <v>3</v>
      </c>
      <c r="D479" s="196" t="s">
        <v>59</v>
      </c>
      <c r="E479" s="196" t="s">
        <v>59</v>
      </c>
      <c r="F479" s="197" t="s">
        <v>59</v>
      </c>
      <c r="G479" s="197" t="s">
        <v>59</v>
      </c>
      <c r="H479" s="197"/>
      <c r="I479" s="196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Jovan Milošević (A)</v>
      </c>
    </row>
    <row r="480" spans="1:28" s="113" customFormat="1" ht="10.5" customHeight="1" x14ac:dyDescent="0.2">
      <c r="A480" s="201">
        <v>22</v>
      </c>
      <c r="B480" s="195" t="s">
        <v>370</v>
      </c>
      <c r="C480" s="195" t="s">
        <v>3</v>
      </c>
      <c r="D480" s="196" t="s">
        <v>59</v>
      </c>
      <c r="E480" s="196" t="s">
        <v>59</v>
      </c>
      <c r="F480" s="197" t="s">
        <v>59</v>
      </c>
      <c r="G480" s="197" t="s">
        <v>59</v>
      </c>
      <c r="H480" s="197"/>
      <c r="I480" s="196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" si="183">B480</f>
        <v>Thomas Kastanaras</v>
      </c>
    </row>
    <row r="481" spans="1:28" s="113" customFormat="1" ht="10.5" customHeight="1" x14ac:dyDescent="0.2">
      <c r="A481" s="201">
        <v>26</v>
      </c>
      <c r="B481" s="195" t="s">
        <v>521</v>
      </c>
      <c r="C481" s="195" t="s">
        <v>3</v>
      </c>
      <c r="D481" s="196" t="s">
        <v>59</v>
      </c>
      <c r="E481" s="196" t="s">
        <v>59</v>
      </c>
      <c r="F481" s="197" t="s">
        <v>59</v>
      </c>
      <c r="G481" s="197" t="s">
        <v>59</v>
      </c>
      <c r="H481" s="197"/>
      <c r="I481" s="196"/>
      <c r="J481" s="181"/>
      <c r="K481" s="182"/>
      <c r="L481" s="182"/>
      <c r="M481" s="182"/>
      <c r="N481" s="182">
        <v>10</v>
      </c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ref="AB481" si="184">B481</f>
        <v>Deniz Undav</v>
      </c>
    </row>
    <row r="482" spans="1:28" ht="15" customHeight="1" thickBot="1" x14ac:dyDescent="0.25">
      <c r="A482" s="219" t="s">
        <v>425</v>
      </c>
      <c r="B482" s="219"/>
      <c r="C482" s="219"/>
      <c r="D482" s="219"/>
      <c r="E482" s="219"/>
      <c r="F482" s="219"/>
      <c r="G482" s="219"/>
      <c r="H482" s="219"/>
      <c r="I482" s="219"/>
      <c r="J482" s="10"/>
      <c r="K482" s="176">
        <v>12</v>
      </c>
      <c r="L482" s="176">
        <v>12</v>
      </c>
      <c r="M482" s="176">
        <v>12</v>
      </c>
      <c r="N482" s="176">
        <v>12</v>
      </c>
      <c r="O482" s="176">
        <v>12</v>
      </c>
      <c r="P482" s="176">
        <v>12</v>
      </c>
      <c r="Q482" s="176">
        <v>12</v>
      </c>
      <c r="R482" s="176">
        <v>12</v>
      </c>
      <c r="S482" s="176">
        <v>12</v>
      </c>
      <c r="T482" s="176">
        <v>12</v>
      </c>
      <c r="U482" s="176">
        <v>12</v>
      </c>
      <c r="V482" s="176">
        <v>12</v>
      </c>
      <c r="W482" s="176">
        <v>12</v>
      </c>
      <c r="X482" s="176">
        <v>12</v>
      </c>
      <c r="Y482" s="176">
        <v>12</v>
      </c>
      <c r="Z482" s="217"/>
      <c r="AB482" s="175" t="str">
        <f>A482</f>
        <v>1.FC Heidenheim</v>
      </c>
    </row>
    <row r="483" spans="1:28" s="113" customFormat="1" ht="10.5" customHeight="1" x14ac:dyDescent="0.2">
      <c r="A483" s="177">
        <v>1</v>
      </c>
      <c r="B483" s="178" t="s">
        <v>522</v>
      </c>
      <c r="C483" s="178" t="s">
        <v>0</v>
      </c>
      <c r="D483" s="179" t="s">
        <v>59</v>
      </c>
      <c r="E483" s="179" t="s">
        <v>59</v>
      </c>
      <c r="F483" s="180" t="s">
        <v>59</v>
      </c>
      <c r="G483" s="180" t="s">
        <v>59</v>
      </c>
      <c r="H483" s="180"/>
      <c r="I483" s="179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5">B483</f>
        <v>Kevin Müller</v>
      </c>
    </row>
    <row r="484" spans="1:28" s="113" customFormat="1" ht="10.5" customHeight="1" x14ac:dyDescent="0.2">
      <c r="A484" s="177">
        <v>22</v>
      </c>
      <c r="B484" s="178" t="s">
        <v>523</v>
      </c>
      <c r="C484" s="178" t="s">
        <v>0</v>
      </c>
      <c r="D484" s="179" t="s">
        <v>59</v>
      </c>
      <c r="E484" s="179" t="s">
        <v>59</v>
      </c>
      <c r="F484" s="180" t="s">
        <v>59</v>
      </c>
      <c r="G484" s="180" t="s">
        <v>59</v>
      </c>
      <c r="H484" s="180"/>
      <c r="I484" s="179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" si="186">B484</f>
        <v>Vitus Eicher</v>
      </c>
    </row>
    <row r="485" spans="1:28" s="113" customFormat="1" ht="10.5" customHeight="1" x14ac:dyDescent="0.2">
      <c r="A485" s="177">
        <v>34</v>
      </c>
      <c r="B485" s="178" t="s">
        <v>524</v>
      </c>
      <c r="C485" s="178" t="s">
        <v>0</v>
      </c>
      <c r="D485" s="179" t="s">
        <v>59</v>
      </c>
      <c r="E485" s="179" t="s">
        <v>59</v>
      </c>
      <c r="F485" s="180" t="s">
        <v>59</v>
      </c>
      <c r="G485" s="180" t="s">
        <v>59</v>
      </c>
      <c r="H485" s="180"/>
      <c r="I485" s="179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5"/>
        <v>Paul Tschernuth (A)</v>
      </c>
    </row>
    <row r="486" spans="1:28" s="113" customFormat="1" ht="10.5" customHeight="1" x14ac:dyDescent="0.2">
      <c r="A486" s="177">
        <v>40</v>
      </c>
      <c r="B486" s="178" t="s">
        <v>525</v>
      </c>
      <c r="C486" s="178" t="s">
        <v>0</v>
      </c>
      <c r="D486" s="179" t="s">
        <v>59</v>
      </c>
      <c r="E486" s="179" t="s">
        <v>59</v>
      </c>
      <c r="F486" s="180" t="s">
        <v>59</v>
      </c>
      <c r="G486" s="180" t="s">
        <v>59</v>
      </c>
      <c r="H486" s="180"/>
      <c r="I486" s="179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ref="AB486" si="187">B486</f>
        <v>Frank Feller</v>
      </c>
    </row>
    <row r="487" spans="1:28" s="113" customFormat="1" ht="10.5" customHeight="1" x14ac:dyDescent="0.2">
      <c r="A487" s="198">
        <v>2</v>
      </c>
      <c r="B487" s="199" t="s">
        <v>526</v>
      </c>
      <c r="C487" s="185" t="s">
        <v>1</v>
      </c>
      <c r="D487" s="186" t="s">
        <v>59</v>
      </c>
      <c r="E487" s="186" t="s">
        <v>59</v>
      </c>
      <c r="F487" s="187" t="s">
        <v>59</v>
      </c>
      <c r="G487" s="187" t="s">
        <v>59</v>
      </c>
      <c r="H487" s="187"/>
      <c r="I487" s="18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" si="188">B487</f>
        <v>Marnon Busch</v>
      </c>
    </row>
    <row r="488" spans="1:28" s="113" customFormat="1" ht="10.5" customHeight="1" x14ac:dyDescent="0.2">
      <c r="A488" s="198">
        <v>4</v>
      </c>
      <c r="B488" s="199" t="s">
        <v>527</v>
      </c>
      <c r="C488" s="185" t="s">
        <v>1</v>
      </c>
      <c r="D488" s="186" t="s">
        <v>59</v>
      </c>
      <c r="E488" s="186" t="s">
        <v>59</v>
      </c>
      <c r="F488" s="187" t="s">
        <v>59</v>
      </c>
      <c r="G488" s="187" t="s">
        <v>59</v>
      </c>
      <c r="H488" s="187"/>
      <c r="I488" s="18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:AB493" si="189">B488</f>
        <v>Tim Siersleben</v>
      </c>
    </row>
    <row r="489" spans="1:28" s="113" customFormat="1" ht="10.5" customHeight="1" x14ac:dyDescent="0.2">
      <c r="A489" s="198">
        <v>6</v>
      </c>
      <c r="B489" s="199" t="s">
        <v>528</v>
      </c>
      <c r="C489" s="185" t="s">
        <v>1</v>
      </c>
      <c r="D489" s="186" t="s">
        <v>59</v>
      </c>
      <c r="E489" s="186" t="s">
        <v>59</v>
      </c>
      <c r="F489" s="187" t="s">
        <v>59</v>
      </c>
      <c r="G489" s="187" t="s">
        <v>59</v>
      </c>
      <c r="H489" s="187"/>
      <c r="I489" s="18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>B489</f>
        <v>Patrick Mainka</v>
      </c>
    </row>
    <row r="490" spans="1:28" s="113" customFormat="1" ht="10.5" customHeight="1" x14ac:dyDescent="0.2">
      <c r="A490" s="198">
        <v>19</v>
      </c>
      <c r="B490" s="199" t="s">
        <v>529</v>
      </c>
      <c r="C490" s="185" t="s">
        <v>1</v>
      </c>
      <c r="D490" s="186" t="s">
        <v>59</v>
      </c>
      <c r="E490" s="186" t="s">
        <v>59</v>
      </c>
      <c r="F490" s="187" t="s">
        <v>59</v>
      </c>
      <c r="G490" s="187" t="s">
        <v>59</v>
      </c>
      <c r="H490" s="187"/>
      <c r="I490" s="18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:AB492" si="190">B490</f>
        <v>Jonas Föhrenbach</v>
      </c>
    </row>
    <row r="491" spans="1:28" s="113" customFormat="1" ht="10.5" customHeight="1" x14ac:dyDescent="0.2">
      <c r="A491" s="198">
        <v>23</v>
      </c>
      <c r="B491" s="199" t="s">
        <v>626</v>
      </c>
      <c r="C491" s="185" t="s">
        <v>1</v>
      </c>
      <c r="D491" s="186" t="s">
        <v>59</v>
      </c>
      <c r="E491" s="186" t="s">
        <v>59</v>
      </c>
      <c r="F491" s="187" t="s">
        <v>59</v>
      </c>
      <c r="G491" s="187" t="s">
        <v>59</v>
      </c>
      <c r="H491" s="187"/>
      <c r="I491" s="18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0"/>
        <v>Omar Haktab Traoré</v>
      </c>
    </row>
    <row r="492" spans="1:28" s="113" customFormat="1" ht="10.5" customHeight="1" x14ac:dyDescent="0.2">
      <c r="A492" s="198">
        <v>27</v>
      </c>
      <c r="B492" s="199" t="s">
        <v>530</v>
      </c>
      <c r="C492" s="185" t="s">
        <v>1</v>
      </c>
      <c r="D492" s="186" t="s">
        <v>59</v>
      </c>
      <c r="E492" s="186" t="s">
        <v>59</v>
      </c>
      <c r="F492" s="187" t="s">
        <v>59</v>
      </c>
      <c r="G492" s="187" t="s">
        <v>59</v>
      </c>
      <c r="H492" s="187"/>
      <c r="I492" s="18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90"/>
        <v>Thomas Keller</v>
      </c>
    </row>
    <row r="493" spans="1:28" s="113" customFormat="1" ht="10.5" customHeight="1" x14ac:dyDescent="0.2">
      <c r="A493" s="198">
        <v>29</v>
      </c>
      <c r="B493" s="199" t="s">
        <v>531</v>
      </c>
      <c r="C493" s="185" t="s">
        <v>1</v>
      </c>
      <c r="D493" s="186" t="s">
        <v>59</v>
      </c>
      <c r="E493" s="186" t="s">
        <v>59</v>
      </c>
      <c r="F493" s="187" t="s">
        <v>59</v>
      </c>
      <c r="G493" s="187" t="s">
        <v>59</v>
      </c>
      <c r="H493" s="187"/>
      <c r="I493" s="18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si="189"/>
        <v>Seedy Jarju</v>
      </c>
    </row>
    <row r="494" spans="1:28" s="113" customFormat="1" ht="10.5" customHeight="1" x14ac:dyDescent="0.2">
      <c r="A494" s="198">
        <v>30</v>
      </c>
      <c r="B494" s="199" t="s">
        <v>532</v>
      </c>
      <c r="C494" s="185" t="s">
        <v>1</v>
      </c>
      <c r="D494" s="186" t="s">
        <v>59</v>
      </c>
      <c r="E494" s="186" t="s">
        <v>59</v>
      </c>
      <c r="F494" s="187" t="s">
        <v>59</v>
      </c>
      <c r="G494" s="187" t="s">
        <v>59</v>
      </c>
      <c r="H494" s="187"/>
      <c r="I494" s="18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Norman Theuerkauf</v>
      </c>
    </row>
    <row r="495" spans="1:28" s="113" customFormat="1" ht="10.5" customHeight="1" x14ac:dyDescent="0.2">
      <c r="A495" s="200">
        <v>3</v>
      </c>
      <c r="B495" s="190" t="s">
        <v>533</v>
      </c>
      <c r="C495" s="190" t="s">
        <v>2</v>
      </c>
      <c r="D495" s="191" t="s">
        <v>59</v>
      </c>
      <c r="E495" s="191" t="s">
        <v>59</v>
      </c>
      <c r="F495" s="192" t="s">
        <v>59</v>
      </c>
      <c r="G495" s="192" t="s">
        <v>59</v>
      </c>
      <c r="H495" s="192"/>
      <c r="I495" s="191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504" si="192">B495</f>
        <v>Jan Schöppner</v>
      </c>
    </row>
    <row r="496" spans="1:28" s="113" customFormat="1" ht="10.5" customHeight="1" x14ac:dyDescent="0.2">
      <c r="A496" s="200">
        <v>5</v>
      </c>
      <c r="B496" s="190" t="s">
        <v>534</v>
      </c>
      <c r="C496" s="190" t="s">
        <v>2</v>
      </c>
      <c r="D496" s="191" t="s">
        <v>59</v>
      </c>
      <c r="E496" s="191" t="s">
        <v>59</v>
      </c>
      <c r="F496" s="192" t="s">
        <v>59</v>
      </c>
      <c r="G496" s="192" t="s">
        <v>59</v>
      </c>
      <c r="H496" s="192"/>
      <c r="I496" s="191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500" si="193">B496</f>
        <v>Benedikt Gimber</v>
      </c>
    </row>
    <row r="497" spans="1:28" s="113" customFormat="1" ht="10.5" customHeight="1" x14ac:dyDescent="0.2">
      <c r="A497" s="200">
        <v>8</v>
      </c>
      <c r="B497" s="190" t="s">
        <v>627</v>
      </c>
      <c r="C497" s="190" t="s">
        <v>2</v>
      </c>
      <c r="D497" s="191" t="s">
        <v>59</v>
      </c>
      <c r="E497" s="191" t="s">
        <v>59</v>
      </c>
      <c r="F497" s="192" t="s">
        <v>59</v>
      </c>
      <c r="G497" s="192" t="s">
        <v>59</v>
      </c>
      <c r="H497" s="192"/>
      <c r="I497" s="191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3"/>
        <v>Eren Sami Dinkçi</v>
      </c>
    </row>
    <row r="498" spans="1:28" s="113" customFormat="1" ht="10.5" customHeight="1" x14ac:dyDescent="0.2">
      <c r="A498" s="200">
        <v>11</v>
      </c>
      <c r="B498" s="190" t="s">
        <v>535</v>
      </c>
      <c r="C498" s="190" t="s">
        <v>2</v>
      </c>
      <c r="D498" s="191" t="s">
        <v>59</v>
      </c>
      <c r="E498" s="191" t="s">
        <v>59</v>
      </c>
      <c r="F498" s="192" t="s">
        <v>59</v>
      </c>
      <c r="G498" s="192" t="s">
        <v>59</v>
      </c>
      <c r="H498" s="192"/>
      <c r="I498" s="191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93"/>
        <v>Denis Thomalla</v>
      </c>
    </row>
    <row r="499" spans="1:28" s="113" customFormat="1" ht="10.5" customHeight="1" x14ac:dyDescent="0.2">
      <c r="A499" s="200">
        <v>16</v>
      </c>
      <c r="B499" s="190" t="s">
        <v>536</v>
      </c>
      <c r="C499" s="190" t="s">
        <v>2</v>
      </c>
      <c r="D499" s="191" t="s">
        <v>59</v>
      </c>
      <c r="E499" s="191" t="s">
        <v>59</v>
      </c>
      <c r="F499" s="192" t="s">
        <v>59</v>
      </c>
      <c r="G499" s="192" t="s">
        <v>59</v>
      </c>
      <c r="H499" s="192"/>
      <c r="I499" s="191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si="193"/>
        <v>Kevin Sessa</v>
      </c>
    </row>
    <row r="500" spans="1:28" s="113" customFormat="1" ht="10.5" customHeight="1" x14ac:dyDescent="0.2">
      <c r="A500" s="200">
        <v>17</v>
      </c>
      <c r="B500" s="190" t="s">
        <v>537</v>
      </c>
      <c r="C500" s="190" t="s">
        <v>2</v>
      </c>
      <c r="D500" s="191" t="s">
        <v>59</v>
      </c>
      <c r="E500" s="191" t="s">
        <v>59</v>
      </c>
      <c r="F500" s="192" t="s">
        <v>59</v>
      </c>
      <c r="G500" s="192" t="s">
        <v>59</v>
      </c>
      <c r="H500" s="192"/>
      <c r="I500" s="191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93"/>
        <v>Florian Pick</v>
      </c>
    </row>
    <row r="501" spans="1:28" s="113" customFormat="1" ht="10.5" customHeight="1" x14ac:dyDescent="0.2">
      <c r="A501" s="200">
        <v>21</v>
      </c>
      <c r="B501" s="190" t="s">
        <v>538</v>
      </c>
      <c r="C501" s="190" t="s">
        <v>2</v>
      </c>
      <c r="D501" s="191" t="s">
        <v>59</v>
      </c>
      <c r="E501" s="191" t="s">
        <v>59</v>
      </c>
      <c r="F501" s="192" t="s">
        <v>59</v>
      </c>
      <c r="G501" s="192" t="s">
        <v>59</v>
      </c>
      <c r="H501" s="192"/>
      <c r="I501" s="191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" si="194">B501</f>
        <v>Adrian Beck</v>
      </c>
    </row>
    <row r="502" spans="1:28" s="113" customFormat="1" ht="10.5" customHeight="1" x14ac:dyDescent="0.2">
      <c r="A502" s="200">
        <v>33</v>
      </c>
      <c r="B502" s="190" t="s">
        <v>539</v>
      </c>
      <c r="C502" s="190" t="s">
        <v>2</v>
      </c>
      <c r="D502" s="191" t="s">
        <v>59</v>
      </c>
      <c r="E502" s="191" t="s">
        <v>59</v>
      </c>
      <c r="F502" s="192" t="s">
        <v>59</v>
      </c>
      <c r="G502" s="192" t="s">
        <v>59</v>
      </c>
      <c r="H502" s="192"/>
      <c r="I502" s="191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2"/>
        <v>Lennard Maloney</v>
      </c>
    </row>
    <row r="503" spans="1:28" s="113" customFormat="1" ht="10.5" customHeight="1" x14ac:dyDescent="0.2">
      <c r="A503" s="200">
        <v>36</v>
      </c>
      <c r="B503" s="190" t="s">
        <v>628</v>
      </c>
      <c r="C503" s="190" t="s">
        <v>2</v>
      </c>
      <c r="D503" s="191" t="s">
        <v>59</v>
      </c>
      <c r="E503" s="191" t="s">
        <v>59</v>
      </c>
      <c r="F503" s="192" t="s">
        <v>59</v>
      </c>
      <c r="G503" s="192" t="s">
        <v>59</v>
      </c>
      <c r="H503" s="192"/>
      <c r="I503" s="191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5">B503</f>
        <v>Luka Janeš</v>
      </c>
    </row>
    <row r="504" spans="1:28" s="113" customFormat="1" ht="10.5" customHeight="1" x14ac:dyDescent="0.2">
      <c r="A504" s="200">
        <v>37</v>
      </c>
      <c r="B504" s="190" t="s">
        <v>540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2"/>
        <v>Jan-Niklas Beste</v>
      </c>
    </row>
    <row r="505" spans="1:28" s="113" customFormat="1" ht="10.5" customHeight="1" x14ac:dyDescent="0.2">
      <c r="A505" s="201">
        <v>9</v>
      </c>
      <c r="B505" s="195" t="s">
        <v>541</v>
      </c>
      <c r="C505" s="195" t="s">
        <v>3</v>
      </c>
      <c r="D505" s="196" t="s">
        <v>59</v>
      </c>
      <c r="E505" s="196" t="s">
        <v>59</v>
      </c>
      <c r="F505" s="197" t="s">
        <v>59</v>
      </c>
      <c r="G505" s="197" t="s">
        <v>59</v>
      </c>
      <c r="H505" s="197"/>
      <c r="I505" s="19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" si="196">B505</f>
        <v>Stefan Schimmer</v>
      </c>
    </row>
    <row r="506" spans="1:28" s="113" customFormat="1" ht="10.5" customHeight="1" x14ac:dyDescent="0.2">
      <c r="A506" s="201">
        <v>10</v>
      </c>
      <c r="B506" s="195" t="s">
        <v>542</v>
      </c>
      <c r="C506" s="195" t="s">
        <v>3</v>
      </c>
      <c r="D506" s="196" t="s">
        <v>59</v>
      </c>
      <c r="E506" s="196" t="s">
        <v>59</v>
      </c>
      <c r="F506" s="197" t="s">
        <v>59</v>
      </c>
      <c r="G506" s="197" t="s">
        <v>59</v>
      </c>
      <c r="H506" s="197"/>
      <c r="I506" s="19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197">B506</f>
        <v>Tim Kleindienst</v>
      </c>
    </row>
    <row r="507" spans="1:28" s="113" customFormat="1" ht="10.5" customHeight="1" x14ac:dyDescent="0.2">
      <c r="A507" s="201">
        <v>18</v>
      </c>
      <c r="B507" s="195" t="s">
        <v>543</v>
      </c>
      <c r="C507" s="195" t="s">
        <v>3</v>
      </c>
      <c r="D507" s="196" t="s">
        <v>59</v>
      </c>
      <c r="E507" s="196" t="s">
        <v>59</v>
      </c>
      <c r="F507" s="197" t="s">
        <v>59</v>
      </c>
      <c r="G507" s="197" t="s">
        <v>59</v>
      </c>
      <c r="H507" s="197"/>
      <c r="I507" s="19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0" si="198">B507</f>
        <v>Marvin Pieringer</v>
      </c>
    </row>
    <row r="508" spans="1:28" s="113" customFormat="1" ht="10.5" customHeight="1" x14ac:dyDescent="0.2">
      <c r="A508" s="201">
        <v>20</v>
      </c>
      <c r="B508" s="195" t="s">
        <v>544</v>
      </c>
      <c r="C508" s="195" t="s">
        <v>3</v>
      </c>
      <c r="D508" s="196" t="s">
        <v>59</v>
      </c>
      <c r="E508" s="196" t="s">
        <v>59</v>
      </c>
      <c r="F508" s="197" t="s">
        <v>59</v>
      </c>
      <c r="G508" s="197" t="s">
        <v>59</v>
      </c>
      <c r="H508" s="197"/>
      <c r="I508" s="196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Nikola Dovedan (A)</v>
      </c>
    </row>
    <row r="509" spans="1:28" s="113" customFormat="1" ht="10.5" customHeight="1" x14ac:dyDescent="0.2">
      <c r="A509" s="201">
        <v>24</v>
      </c>
      <c r="B509" s="195" t="s">
        <v>545</v>
      </c>
      <c r="C509" s="195" t="s">
        <v>3</v>
      </c>
      <c r="D509" s="196" t="s">
        <v>59</v>
      </c>
      <c r="E509" s="196" t="s">
        <v>59</v>
      </c>
      <c r="F509" s="197" t="s">
        <v>59</v>
      </c>
      <c r="G509" s="197" t="s">
        <v>59</v>
      </c>
      <c r="H509" s="197"/>
      <c r="I509" s="196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" si="199">B509</f>
        <v>Christian Kühlwetter</v>
      </c>
    </row>
    <row r="510" spans="1:28" s="113" customFormat="1" ht="10.5" customHeight="1" x14ac:dyDescent="0.2">
      <c r="A510" s="201">
        <v>44</v>
      </c>
      <c r="B510" s="195" t="s">
        <v>546</v>
      </c>
      <c r="C510" s="195" t="s">
        <v>3</v>
      </c>
      <c r="D510" s="196" t="s">
        <v>59</v>
      </c>
      <c r="E510" s="196" t="s">
        <v>59</v>
      </c>
      <c r="F510" s="197" t="s">
        <v>59</v>
      </c>
      <c r="G510" s="197" t="s">
        <v>59</v>
      </c>
      <c r="H510" s="197"/>
      <c r="I510" s="196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Elidon Qenaj</v>
      </c>
    </row>
    <row r="511" spans="1:28" ht="15" customHeight="1" thickBot="1" x14ac:dyDescent="0.25">
      <c r="A511" s="219" t="s">
        <v>426</v>
      </c>
      <c r="B511" s="219"/>
      <c r="C511" s="219"/>
      <c r="D511" s="219"/>
      <c r="E511" s="219"/>
      <c r="F511" s="219"/>
      <c r="G511" s="219"/>
      <c r="H511" s="219"/>
      <c r="I511" s="219"/>
      <c r="J511" s="10"/>
      <c r="K511" s="176">
        <v>12</v>
      </c>
      <c r="L511" s="176">
        <v>12</v>
      </c>
      <c r="M511" s="176">
        <v>12</v>
      </c>
      <c r="N511" s="176">
        <v>12</v>
      </c>
      <c r="O511" s="176">
        <v>12</v>
      </c>
      <c r="P511" s="176">
        <v>12</v>
      </c>
      <c r="Q511" s="176">
        <v>12</v>
      </c>
      <c r="R511" s="176">
        <v>12</v>
      </c>
      <c r="S511" s="176">
        <v>12</v>
      </c>
      <c r="T511" s="176">
        <v>12</v>
      </c>
      <c r="U511" s="176">
        <v>12</v>
      </c>
      <c r="V511" s="176">
        <v>12</v>
      </c>
      <c r="W511" s="176">
        <v>12</v>
      </c>
      <c r="X511" s="176">
        <v>12</v>
      </c>
      <c r="Y511" s="176">
        <v>12</v>
      </c>
      <c r="Z511" s="217"/>
      <c r="AB511" s="175" t="str">
        <f>A511</f>
        <v>SV Darmstadt 98</v>
      </c>
    </row>
    <row r="512" spans="1:28" s="113" customFormat="1" ht="10.5" customHeight="1" x14ac:dyDescent="0.2">
      <c r="A512" s="177">
        <v>1</v>
      </c>
      <c r="B512" s="178" t="s">
        <v>547</v>
      </c>
      <c r="C512" s="178" t="s">
        <v>0</v>
      </c>
      <c r="D512" s="179" t="s">
        <v>59</v>
      </c>
      <c r="E512" s="179" t="s">
        <v>59</v>
      </c>
      <c r="F512" s="180" t="s">
        <v>59</v>
      </c>
      <c r="G512" s="180" t="s">
        <v>59</v>
      </c>
      <c r="H512" s="180"/>
      <c r="I512" s="179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ref="AB512" si="200">B512</f>
        <v>Marcel Schuhen</v>
      </c>
    </row>
    <row r="513" spans="1:28" s="113" customFormat="1" ht="10.5" customHeight="1" x14ac:dyDescent="0.2">
      <c r="A513" s="177">
        <v>13</v>
      </c>
      <c r="B513" s="178" t="s">
        <v>548</v>
      </c>
      <c r="C513" s="178" t="s">
        <v>0</v>
      </c>
      <c r="D513" s="179" t="s">
        <v>59</v>
      </c>
      <c r="E513" s="179" t="s">
        <v>59</v>
      </c>
      <c r="F513" s="180" t="s">
        <v>59</v>
      </c>
      <c r="G513" s="180" t="s">
        <v>59</v>
      </c>
      <c r="H513" s="180"/>
      <c r="I513" s="179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:AB514" si="201">B513</f>
        <v>Morten Behrens</v>
      </c>
    </row>
    <row r="514" spans="1:28" s="113" customFormat="1" ht="10.5" customHeight="1" x14ac:dyDescent="0.2">
      <c r="A514" s="177">
        <v>30</v>
      </c>
      <c r="B514" s="178" t="s">
        <v>549</v>
      </c>
      <c r="C514" s="178" t="s">
        <v>0</v>
      </c>
      <c r="D514" s="179" t="s">
        <v>59</v>
      </c>
      <c r="E514" s="179" t="s">
        <v>59</v>
      </c>
      <c r="F514" s="180" t="s">
        <v>59</v>
      </c>
      <c r="G514" s="180" t="s">
        <v>59</v>
      </c>
      <c r="H514" s="180"/>
      <c r="I514" s="179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Alexander Brunst</v>
      </c>
    </row>
    <row r="515" spans="1:28" s="113" customFormat="1" ht="10.5" customHeight="1" x14ac:dyDescent="0.2">
      <c r="A515" s="177">
        <v>45</v>
      </c>
      <c r="B515" s="178" t="s">
        <v>550</v>
      </c>
      <c r="C515" s="178" t="s">
        <v>0</v>
      </c>
      <c r="D515" s="179" t="s">
        <v>59</v>
      </c>
      <c r="E515" s="179" t="s">
        <v>59</v>
      </c>
      <c r="F515" s="180" t="s">
        <v>59</v>
      </c>
      <c r="G515" s="180" t="s">
        <v>59</v>
      </c>
      <c r="H515" s="180"/>
      <c r="I515" s="179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2">B515</f>
        <v>Max Wendt</v>
      </c>
    </row>
    <row r="516" spans="1:28" ht="10.5" customHeight="1" x14ac:dyDescent="0.2">
      <c r="A516" s="198">
        <v>3</v>
      </c>
      <c r="B516" s="199" t="s">
        <v>551</v>
      </c>
      <c r="C516" s="185" t="s">
        <v>1</v>
      </c>
      <c r="D516" s="186" t="s">
        <v>59</v>
      </c>
      <c r="E516" s="186" t="s">
        <v>59</v>
      </c>
      <c r="F516" s="187" t="s">
        <v>59</v>
      </c>
      <c r="G516" s="187" t="s">
        <v>59</v>
      </c>
      <c r="H516" s="187"/>
      <c r="I516" s="18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AB516" s="175" t="str">
        <f t="shared" ref="AB516:AB517" si="203">B516</f>
        <v>Thomas Isherwood (A)</v>
      </c>
    </row>
    <row r="517" spans="1:28" ht="10.5" customHeight="1" x14ac:dyDescent="0.2">
      <c r="A517" s="198">
        <v>4</v>
      </c>
      <c r="B517" s="199" t="s">
        <v>552</v>
      </c>
      <c r="C517" s="185" t="s">
        <v>1</v>
      </c>
      <c r="D517" s="186" t="s">
        <v>59</v>
      </c>
      <c r="E517" s="186" t="s">
        <v>59</v>
      </c>
      <c r="F517" s="187" t="s">
        <v>59</v>
      </c>
      <c r="G517" s="187" t="s">
        <v>59</v>
      </c>
      <c r="H517" s="187"/>
      <c r="I517" s="18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AB517" s="175" t="str">
        <f t="shared" si="203"/>
        <v>Christoph Zimmermann</v>
      </c>
    </row>
    <row r="518" spans="1:28" ht="10.5" customHeight="1" x14ac:dyDescent="0.2">
      <c r="A518" s="198">
        <v>5</v>
      </c>
      <c r="B518" s="199" t="s">
        <v>553</v>
      </c>
      <c r="C518" s="185" t="s">
        <v>1</v>
      </c>
      <c r="D518" s="186" t="s">
        <v>59</v>
      </c>
      <c r="E518" s="186" t="s">
        <v>59</v>
      </c>
      <c r="F518" s="187" t="s">
        <v>59</v>
      </c>
      <c r="G518" s="187" t="s">
        <v>59</v>
      </c>
      <c r="H518" s="187"/>
      <c r="I518" s="18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AB518" s="175" t="str">
        <f t="shared" ref="AB518:AB520" si="204">B518</f>
        <v>Matej Maglica (A)</v>
      </c>
    </row>
    <row r="519" spans="1:28" ht="10.5" customHeight="1" x14ac:dyDescent="0.2">
      <c r="A519" s="198">
        <v>14</v>
      </c>
      <c r="B519" s="199" t="s">
        <v>554</v>
      </c>
      <c r="C519" s="185" t="s">
        <v>1</v>
      </c>
      <c r="D519" s="186" t="s">
        <v>59</v>
      </c>
      <c r="E519" s="186" t="s">
        <v>59</v>
      </c>
      <c r="F519" s="187" t="s">
        <v>59</v>
      </c>
      <c r="G519" s="187" t="s">
        <v>59</v>
      </c>
      <c r="H519" s="187"/>
      <c r="I519" s="18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AB519" s="175" t="str">
        <f t="shared" si="204"/>
        <v>Christoph Klarer (A)</v>
      </c>
    </row>
    <row r="520" spans="1:28" ht="10.5" customHeight="1" x14ac:dyDescent="0.2">
      <c r="A520" s="198">
        <v>17</v>
      </c>
      <c r="B520" s="199" t="s">
        <v>555</v>
      </c>
      <c r="C520" s="185" t="s">
        <v>1</v>
      </c>
      <c r="D520" s="186" t="s">
        <v>59</v>
      </c>
      <c r="E520" s="186" t="s">
        <v>59</v>
      </c>
      <c r="F520" s="187" t="s">
        <v>59</v>
      </c>
      <c r="G520" s="187" t="s">
        <v>59</v>
      </c>
      <c r="H520" s="187"/>
      <c r="I520" s="18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AB520" s="175" t="str">
        <f t="shared" si="204"/>
        <v>Frank Ronstadt</v>
      </c>
    </row>
    <row r="521" spans="1:28" ht="10.5" customHeight="1" x14ac:dyDescent="0.2">
      <c r="A521" s="198">
        <v>19</v>
      </c>
      <c r="B521" s="199" t="s">
        <v>556</v>
      </c>
      <c r="C521" s="185" t="s">
        <v>1</v>
      </c>
      <c r="D521" s="186" t="s">
        <v>59</v>
      </c>
      <c r="E521" s="186" t="s">
        <v>59</v>
      </c>
      <c r="F521" s="187" t="s">
        <v>59</v>
      </c>
      <c r="G521" s="187" t="s">
        <v>59</v>
      </c>
      <c r="H521" s="187"/>
      <c r="I521" s="18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AB521" s="175" t="str">
        <f>B521</f>
        <v>Emir Karic (A)</v>
      </c>
    </row>
    <row r="522" spans="1:28" ht="10.5" customHeight="1" x14ac:dyDescent="0.2">
      <c r="A522" s="198">
        <v>20</v>
      </c>
      <c r="B522" s="199" t="s">
        <v>557</v>
      </c>
      <c r="C522" s="185" t="s">
        <v>1</v>
      </c>
      <c r="D522" s="186" t="s">
        <v>59</v>
      </c>
      <c r="E522" s="186" t="s">
        <v>59</v>
      </c>
      <c r="F522" s="187" t="s">
        <v>59</v>
      </c>
      <c r="G522" s="187" t="s">
        <v>59</v>
      </c>
      <c r="H522" s="187"/>
      <c r="I522" s="18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AB522" s="175" t="str">
        <f>B522</f>
        <v>Jannik Müller</v>
      </c>
    </row>
    <row r="523" spans="1:28" ht="10.5" customHeight="1" x14ac:dyDescent="0.2">
      <c r="A523" s="198">
        <v>26</v>
      </c>
      <c r="B523" s="199" t="s">
        <v>558</v>
      </c>
      <c r="C523" s="185" t="s">
        <v>1</v>
      </c>
      <c r="D523" s="186" t="s">
        <v>59</v>
      </c>
      <c r="E523" s="186" t="s">
        <v>59</v>
      </c>
      <c r="F523" s="187" t="s">
        <v>59</v>
      </c>
      <c r="G523" s="187" t="s">
        <v>59</v>
      </c>
      <c r="H523" s="187"/>
      <c r="I523" s="18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AB523" s="175" t="str">
        <f t="shared" ref="AB523" si="205">B523</f>
        <v>Matthias Bader</v>
      </c>
    </row>
    <row r="524" spans="1:28" ht="10.5" customHeight="1" x14ac:dyDescent="0.2">
      <c r="A524" s="198">
        <v>32</v>
      </c>
      <c r="B524" s="199" t="s">
        <v>559</v>
      </c>
      <c r="C524" s="185" t="s">
        <v>1</v>
      </c>
      <c r="D524" s="186" t="s">
        <v>59</v>
      </c>
      <c r="E524" s="186" t="s">
        <v>59</v>
      </c>
      <c r="F524" s="187" t="s">
        <v>59</v>
      </c>
      <c r="G524" s="187" t="s">
        <v>59</v>
      </c>
      <c r="H524" s="187"/>
      <c r="I524" s="18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AB524" s="175" t="str">
        <f>B524</f>
        <v>Fabian Holland</v>
      </c>
    </row>
    <row r="525" spans="1:28" ht="10.5" customHeight="1" x14ac:dyDescent="0.2">
      <c r="A525" s="198">
        <v>38</v>
      </c>
      <c r="B525" s="199" t="s">
        <v>560</v>
      </c>
      <c r="C525" s="185" t="s">
        <v>1</v>
      </c>
      <c r="D525" s="186" t="s">
        <v>59</v>
      </c>
      <c r="E525" s="186" t="s">
        <v>59</v>
      </c>
      <c r="F525" s="187" t="s">
        <v>59</v>
      </c>
      <c r="G525" s="187" t="s">
        <v>59</v>
      </c>
      <c r="H525" s="187"/>
      <c r="I525" s="18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AB525" s="175" t="str">
        <f t="shared" ref="AB525" si="206">B525</f>
        <v>Clemens Riedel</v>
      </c>
    </row>
    <row r="526" spans="1:28" ht="10.5" customHeight="1" x14ac:dyDescent="0.2">
      <c r="A526" s="200">
        <v>6</v>
      </c>
      <c r="B526" s="190" t="s">
        <v>561</v>
      </c>
      <c r="C526" s="190" t="s">
        <v>2</v>
      </c>
      <c r="D526" s="191" t="s">
        <v>59</v>
      </c>
      <c r="E526" s="191" t="s">
        <v>59</v>
      </c>
      <c r="F526" s="192" t="s">
        <v>59</v>
      </c>
      <c r="G526" s="192" t="s">
        <v>59</v>
      </c>
      <c r="H526" s="192"/>
      <c r="I526" s="191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9" si="207">B526</f>
        <v>Marvin Mehlem</v>
      </c>
    </row>
    <row r="527" spans="1:28" ht="10.5" customHeight="1" x14ac:dyDescent="0.2">
      <c r="A527" s="200">
        <v>7</v>
      </c>
      <c r="B527" s="190" t="s">
        <v>562</v>
      </c>
      <c r="C527" s="190" t="s">
        <v>2</v>
      </c>
      <c r="D527" s="191" t="s">
        <v>59</v>
      </c>
      <c r="E527" s="191" t="s">
        <v>59</v>
      </c>
      <c r="F527" s="192" t="s">
        <v>59</v>
      </c>
      <c r="G527" s="192" t="s">
        <v>59</v>
      </c>
      <c r="H527" s="192"/>
      <c r="I527" s="191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7"/>
        <v>Braydon Manu (A)</v>
      </c>
    </row>
    <row r="528" spans="1:28" ht="10.5" customHeight="1" x14ac:dyDescent="0.2">
      <c r="A528" s="200">
        <v>8</v>
      </c>
      <c r="B528" s="190" t="s">
        <v>563</v>
      </c>
      <c r="C528" s="190" t="s">
        <v>2</v>
      </c>
      <c r="D528" s="191" t="s">
        <v>59</v>
      </c>
      <c r="E528" s="191" t="s">
        <v>59</v>
      </c>
      <c r="F528" s="192" t="s">
        <v>59</v>
      </c>
      <c r="G528" s="192" t="s">
        <v>59</v>
      </c>
      <c r="H528" s="192"/>
      <c r="I528" s="191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7"/>
        <v>Fabian Schnellhardt</v>
      </c>
    </row>
    <row r="529" spans="1:28" ht="10.5" customHeight="1" x14ac:dyDescent="0.2">
      <c r="A529" s="200">
        <v>11</v>
      </c>
      <c r="B529" s="190" t="s">
        <v>564</v>
      </c>
      <c r="C529" s="190" t="s">
        <v>2</v>
      </c>
      <c r="D529" s="191" t="s">
        <v>59</v>
      </c>
      <c r="E529" s="191" t="s">
        <v>59</v>
      </c>
      <c r="F529" s="192" t="s">
        <v>59</v>
      </c>
      <c r="G529" s="192" t="s">
        <v>59</v>
      </c>
      <c r="H529" s="192"/>
      <c r="I529" s="191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7"/>
        <v>Tobias Kempe</v>
      </c>
    </row>
    <row r="530" spans="1:28" ht="10.5" customHeight="1" x14ac:dyDescent="0.2">
      <c r="A530" s="200">
        <v>15</v>
      </c>
      <c r="B530" s="190" t="s">
        <v>565</v>
      </c>
      <c r="C530" s="190" t="s">
        <v>2</v>
      </c>
      <c r="D530" s="191" t="s">
        <v>59</v>
      </c>
      <c r="E530" s="191" t="s">
        <v>59</v>
      </c>
      <c r="F530" s="192" t="s">
        <v>59</v>
      </c>
      <c r="G530" s="192" t="s">
        <v>59</v>
      </c>
      <c r="H530" s="192"/>
      <c r="I530" s="191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7" si="208">B530</f>
        <v>Fabian Nürnberger</v>
      </c>
    </row>
    <row r="531" spans="1:28" ht="10.5" customHeight="1" x14ac:dyDescent="0.2">
      <c r="A531" s="200">
        <v>16</v>
      </c>
      <c r="B531" s="190" t="s">
        <v>566</v>
      </c>
      <c r="C531" s="190" t="s">
        <v>2</v>
      </c>
      <c r="D531" s="191" t="s">
        <v>59</v>
      </c>
      <c r="E531" s="191" t="s">
        <v>59</v>
      </c>
      <c r="F531" s="192" t="s">
        <v>59</v>
      </c>
      <c r="G531" s="192" t="s">
        <v>59</v>
      </c>
      <c r="H531" s="192"/>
      <c r="I531" s="191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" si="209">B531</f>
        <v>Andreas Müller</v>
      </c>
    </row>
    <row r="532" spans="1:28" ht="10.5" customHeight="1" x14ac:dyDescent="0.2">
      <c r="A532" s="200">
        <v>18</v>
      </c>
      <c r="B532" s="190" t="s">
        <v>567</v>
      </c>
      <c r="C532" s="190" t="s">
        <v>2</v>
      </c>
      <c r="D532" s="191" t="s">
        <v>59</v>
      </c>
      <c r="E532" s="191" t="s">
        <v>59</v>
      </c>
      <c r="F532" s="192" t="s">
        <v>59</v>
      </c>
      <c r="G532" s="192" t="s">
        <v>59</v>
      </c>
      <c r="H532" s="192"/>
      <c r="I532" s="191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8"/>
        <v>Mathias Honsak (A)</v>
      </c>
    </row>
    <row r="533" spans="1:28" ht="10.5" customHeight="1" x14ac:dyDescent="0.2">
      <c r="A533" s="200">
        <v>23</v>
      </c>
      <c r="B533" s="190" t="s">
        <v>568</v>
      </c>
      <c r="C533" s="190" t="s">
        <v>2</v>
      </c>
      <c r="D533" s="191" t="s">
        <v>59</v>
      </c>
      <c r="E533" s="191" t="s">
        <v>59</v>
      </c>
      <c r="F533" s="192" t="s">
        <v>59</v>
      </c>
      <c r="G533" s="192" t="s">
        <v>59</v>
      </c>
      <c r="H533" s="192"/>
      <c r="I533" s="191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" si="210">B533</f>
        <v>Klaus Gjasula (A)</v>
      </c>
    </row>
    <row r="534" spans="1:28" ht="10.5" customHeight="1" x14ac:dyDescent="0.2">
      <c r="A534" s="200">
        <v>28</v>
      </c>
      <c r="B534" s="190" t="s">
        <v>363</v>
      </c>
      <c r="C534" s="190" t="s">
        <v>2</v>
      </c>
      <c r="D534" s="191" t="s">
        <v>59</v>
      </c>
      <c r="E534" s="191" t="s">
        <v>59</v>
      </c>
      <c r="F534" s="192" t="s">
        <v>59</v>
      </c>
      <c r="G534" s="192" t="s">
        <v>59</v>
      </c>
      <c r="H534" s="192"/>
      <c r="I534" s="191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8"/>
        <v>Bartol Franjic (A)</v>
      </c>
    </row>
    <row r="535" spans="1:28" ht="10.5" customHeight="1" x14ac:dyDescent="0.2">
      <c r="A535" s="201">
        <v>9</v>
      </c>
      <c r="B535" s="195" t="s">
        <v>569</v>
      </c>
      <c r="C535" s="195" t="s">
        <v>3</v>
      </c>
      <c r="D535" s="196" t="s">
        <v>59</v>
      </c>
      <c r="E535" s="196" t="s">
        <v>59</v>
      </c>
      <c r="F535" s="197" t="s">
        <v>59</v>
      </c>
      <c r="G535" s="197" t="s">
        <v>59</v>
      </c>
      <c r="H535" s="197"/>
      <c r="I535" s="19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8"/>
        <v>Fraser Hornby (A)</v>
      </c>
    </row>
    <row r="536" spans="1:28" ht="10.5" customHeight="1" x14ac:dyDescent="0.2">
      <c r="A536" s="201">
        <v>10</v>
      </c>
      <c r="B536" s="195" t="s">
        <v>572</v>
      </c>
      <c r="C536" s="195" t="s">
        <v>3</v>
      </c>
      <c r="D536" s="196" t="s">
        <v>59</v>
      </c>
      <c r="E536" s="196" t="s">
        <v>59</v>
      </c>
      <c r="F536" s="197" t="s">
        <v>59</v>
      </c>
      <c r="G536" s="197" t="s">
        <v>59</v>
      </c>
      <c r="H536" s="197"/>
      <c r="I536" s="19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Filip Stojilkovic (A)</v>
      </c>
    </row>
    <row r="537" spans="1:28" ht="10.5" customHeight="1" x14ac:dyDescent="0.2">
      <c r="A537" s="201">
        <v>22</v>
      </c>
      <c r="B537" s="195" t="s">
        <v>570</v>
      </c>
      <c r="C537" s="195" t="s">
        <v>3</v>
      </c>
      <c r="D537" s="196" t="s">
        <v>59</v>
      </c>
      <c r="E537" s="196" t="s">
        <v>59</v>
      </c>
      <c r="F537" s="197" t="s">
        <v>59</v>
      </c>
      <c r="G537" s="197" t="s">
        <v>59</v>
      </c>
      <c r="H537" s="197"/>
      <c r="I537" s="19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08"/>
        <v>Aaron Seydel</v>
      </c>
    </row>
    <row r="538" spans="1:28" ht="10.5" customHeight="1" x14ac:dyDescent="0.2">
      <c r="A538" s="201">
        <v>24</v>
      </c>
      <c r="B538" s="195" t="s">
        <v>593</v>
      </c>
      <c r="C538" s="195" t="s">
        <v>3</v>
      </c>
      <c r="D538" s="196" t="s">
        <v>59</v>
      </c>
      <c r="E538" s="196" t="s">
        <v>59</v>
      </c>
      <c r="F538" s="197" t="s">
        <v>59</v>
      </c>
      <c r="G538" s="197" t="s">
        <v>59</v>
      </c>
      <c r="H538" s="197"/>
      <c r="I538" s="19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11">B538</f>
        <v>Luca Pfeiffer</v>
      </c>
    </row>
    <row r="539" spans="1:28" ht="10.5" customHeight="1" x14ac:dyDescent="0.2">
      <c r="A539" s="201">
        <v>27</v>
      </c>
      <c r="B539" s="195" t="s">
        <v>342</v>
      </c>
      <c r="C539" s="195" t="s">
        <v>3</v>
      </c>
      <c r="D539" s="196" t="s">
        <v>59</v>
      </c>
      <c r="E539" s="196" t="s">
        <v>59</v>
      </c>
      <c r="F539" s="197" t="s">
        <v>59</v>
      </c>
      <c r="G539" s="197" t="s">
        <v>59</v>
      </c>
      <c r="H539" s="197"/>
      <c r="I539" s="19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" si="212">B539</f>
        <v>Tim Skarke</v>
      </c>
    </row>
    <row r="540" spans="1:28" ht="10.5" customHeight="1" x14ac:dyDescent="0.2">
      <c r="A540" s="201">
        <v>29</v>
      </c>
      <c r="B540" s="195" t="s">
        <v>571</v>
      </c>
      <c r="C540" s="195" t="s">
        <v>3</v>
      </c>
      <c r="D540" s="196" t="s">
        <v>59</v>
      </c>
      <c r="E540" s="196" t="s">
        <v>59</v>
      </c>
      <c r="F540" s="197" t="s">
        <v>59</v>
      </c>
      <c r="G540" s="197" t="s">
        <v>59</v>
      </c>
      <c r="H540" s="197"/>
      <c r="I540" s="19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1"/>
        <v>Oscar Vilhelmsson (A)</v>
      </c>
    </row>
    <row r="541" spans="1:28" ht="10.5" customHeight="1" x14ac:dyDescent="0.2">
      <c r="A541" s="201">
        <v>42</v>
      </c>
      <c r="B541" s="195" t="s">
        <v>573</v>
      </c>
      <c r="C541" s="195" t="s">
        <v>3</v>
      </c>
      <c r="D541" s="196" t="s">
        <v>59</v>
      </c>
      <c r="E541" s="196" t="s">
        <v>59</v>
      </c>
      <c r="F541" s="197" t="s">
        <v>59</v>
      </c>
      <c r="G541" s="197" t="s">
        <v>59</v>
      </c>
      <c r="H541" s="197"/>
      <c r="I541" s="19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1"/>
        <v>Fabio Torsiello</v>
      </c>
    </row>
  </sheetData>
  <autoFilter ref="K1:AB541" xr:uid="{00000000-0009-0000-0000-000001000000}"/>
  <mergeCells count="18">
    <mergeCell ref="A2:I2"/>
    <mergeCell ref="A212:I212"/>
    <mergeCell ref="A269:I269"/>
    <mergeCell ref="A28:I28"/>
    <mergeCell ref="A364:I364"/>
    <mergeCell ref="A60:I60"/>
    <mergeCell ref="A333:I333"/>
    <mergeCell ref="A145:I145"/>
    <mergeCell ref="A87:I87"/>
    <mergeCell ref="A116:I116"/>
    <mergeCell ref="A241:I241"/>
    <mergeCell ref="A174:I174"/>
    <mergeCell ref="A452:I452"/>
    <mergeCell ref="A301:I301"/>
    <mergeCell ref="A482:I482"/>
    <mergeCell ref="A511:I511"/>
    <mergeCell ref="A419:I419"/>
    <mergeCell ref="A389:I389"/>
  </mergeCells>
  <phoneticPr fontId="0" type="noConversion"/>
  <conditionalFormatting sqref="B542:B1048576 B482 B364 B333:B334 B241 B1:B2 B511 B28 B269 B419 B389 B212:B216 B60:B64 B87:B91 B116:B128 B516:B534 B254:B262 B346:B356 B140:B146 B169:B190 B286:B315 B446:B452">
    <cfRule type="duplicateValues" dxfId="81" priority="7331"/>
  </conditionalFormatting>
  <conditionalFormatting sqref="B542:B1048576 B482 B364 B333:B334 B269 B1:B2 B28 B419 B511 B241 B389 B212:B216 B60:B64 B87:B91 B116:B128 B516:B534 B254:B262 B346:B356 B140:B146 B169:B190 B286:B315 B446:B452">
    <cfRule type="duplicateValues" dxfId="80" priority="7981"/>
  </conditionalFormatting>
  <conditionalFormatting sqref="B542:B1048576 B482 B364 B333:B334 B241 B511 B1:B2 B28 B269 B419 B389 B212:B216 B60:B64 B87:B91 B116:B128 B516:B534 B254:B262 B346:B356 B140:B146 B169:B190 B286:B315 B446:B452">
    <cfRule type="duplicateValues" dxfId="79" priority="8106"/>
  </conditionalFormatting>
  <conditionalFormatting sqref="B542:B1048576 B482 B364 B333:B334 B269 B241 B511 B1:B2 B28 B419 B389 B212:B216 B60:B64 B87:B91 B116:B128 B516:B534 B254:B262 B346:B356 B140:B146 B169:B190 B286:B315 B446:B452">
    <cfRule type="duplicateValues" dxfId="78" priority="8161"/>
  </conditionalFormatting>
  <conditionalFormatting sqref="B542:B1048576">
    <cfRule type="duplicateValues" dxfId="77" priority="15945"/>
  </conditionalFormatting>
  <conditionalFormatting sqref="B542:B1048576 B482 B364 B333:B334 B269 B1:B2 B28 B419 B511 B241 B389 B212:B216 B60:B64 B87:B91 B516:B534 B254:B262 B346:B356 B169:B190 B286:B315 B446:B452 B116:B146">
    <cfRule type="duplicateValues" dxfId="76" priority="39503"/>
  </conditionalFormatting>
  <conditionalFormatting sqref="B542:B1048576 B482 B364 B333:B334 B1:B2 B269 B419 B28 B511 B241 B389 B212:B216 B60:B64 B87:B91 B516:B534 B254:B262 B346:B356 B423:B436 B169:B190 B286:B315 B446:B452 B116:B146">
    <cfRule type="duplicateValues" dxfId="75" priority="39765"/>
  </conditionalFormatting>
  <conditionalFormatting sqref="B53:B59">
    <cfRule type="duplicateValues" dxfId="74" priority="1300"/>
  </conditionalFormatting>
  <conditionalFormatting sqref="B270:B274">
    <cfRule type="duplicateValues" dxfId="73" priority="1154"/>
  </conditionalFormatting>
  <conditionalFormatting sqref="B270:B274">
    <cfRule type="duplicateValues" dxfId="72" priority="1155"/>
  </conditionalFormatting>
  <conditionalFormatting sqref="B270:B274">
    <cfRule type="duplicateValues" dxfId="71" priority="1156"/>
  </conditionalFormatting>
  <conditionalFormatting sqref="B270:B274">
    <cfRule type="duplicateValues" dxfId="70" priority="1157"/>
  </conditionalFormatting>
  <conditionalFormatting sqref="B270:B274">
    <cfRule type="duplicateValues" dxfId="69" priority="1158"/>
  </conditionalFormatting>
  <conditionalFormatting sqref="B270:B274">
    <cfRule type="duplicateValues" dxfId="68" priority="1159"/>
  </conditionalFormatting>
  <conditionalFormatting sqref="B270:B274">
    <cfRule type="duplicateValues" dxfId="67" priority="1160"/>
  </conditionalFormatting>
  <conditionalFormatting sqref="B270:B274">
    <cfRule type="duplicateValues" dxfId="66" priority="1161"/>
  </conditionalFormatting>
  <conditionalFormatting sqref="B270:B274">
    <cfRule type="duplicateValues" dxfId="65" priority="1162"/>
  </conditionalFormatting>
  <conditionalFormatting sqref="B390:B392">
    <cfRule type="duplicateValues" dxfId="64" priority="860"/>
  </conditionalFormatting>
  <conditionalFormatting sqref="B390:B392">
    <cfRule type="duplicateValues" dxfId="63" priority="861"/>
  </conditionalFormatting>
  <conditionalFormatting sqref="B390:B392">
    <cfRule type="duplicateValues" dxfId="62" priority="862"/>
  </conditionalFormatting>
  <conditionalFormatting sqref="B390:B392">
    <cfRule type="duplicateValues" dxfId="61" priority="863"/>
  </conditionalFormatting>
  <conditionalFormatting sqref="B390:B392">
    <cfRule type="duplicateValues" dxfId="60" priority="864"/>
  </conditionalFormatting>
  <conditionalFormatting sqref="B390:B392">
    <cfRule type="duplicateValues" dxfId="59" priority="865"/>
  </conditionalFormatting>
  <conditionalFormatting sqref="B390:B392">
    <cfRule type="duplicateValues" dxfId="58" priority="866"/>
  </conditionalFormatting>
  <conditionalFormatting sqref="B390:B392">
    <cfRule type="duplicateValues" dxfId="57" priority="867"/>
  </conditionalFormatting>
  <conditionalFormatting sqref="B453:B456">
    <cfRule type="duplicateValues" dxfId="56" priority="44394"/>
  </conditionalFormatting>
  <conditionalFormatting sqref="B242:B244">
    <cfRule type="duplicateValues" dxfId="55" priority="83125"/>
  </conditionalFormatting>
  <conditionalFormatting sqref="B3:B6">
    <cfRule type="duplicateValues" dxfId="54" priority="111389"/>
  </conditionalFormatting>
  <conditionalFormatting sqref="B29:B32">
    <cfRule type="duplicateValues" dxfId="53" priority="112863"/>
  </conditionalFormatting>
  <conditionalFormatting sqref="B33:B42">
    <cfRule type="duplicateValues" dxfId="52" priority="113332"/>
  </conditionalFormatting>
  <conditionalFormatting sqref="B61:B64">
    <cfRule type="duplicateValues" dxfId="51" priority="114682"/>
  </conditionalFormatting>
  <conditionalFormatting sqref="B65:B72">
    <cfRule type="duplicateValues" dxfId="50" priority="114829"/>
  </conditionalFormatting>
  <conditionalFormatting sqref="B129:B139">
    <cfRule type="duplicateValues" dxfId="49" priority="116680"/>
  </conditionalFormatting>
  <conditionalFormatting sqref="B149:B159">
    <cfRule type="duplicateValues" dxfId="48" priority="117029"/>
  </conditionalFormatting>
  <conditionalFormatting sqref="B160:B168">
    <cfRule type="duplicateValues" dxfId="47" priority="117636"/>
  </conditionalFormatting>
  <conditionalFormatting sqref="B217:B225">
    <cfRule type="duplicateValues" dxfId="46" priority="118437"/>
  </conditionalFormatting>
  <conditionalFormatting sqref="B236:B240">
    <cfRule type="duplicateValues" dxfId="45" priority="119642"/>
  </conditionalFormatting>
  <conditionalFormatting sqref="B511:B1048576 B169:B235 B384:B504 B241:B376 B1:B159">
    <cfRule type="duplicateValues" dxfId="44" priority="120823"/>
  </conditionalFormatting>
  <conditionalFormatting sqref="B1:B1048576">
    <cfRule type="duplicateValues" dxfId="43" priority="120835"/>
  </conditionalFormatting>
  <conditionalFormatting sqref="B275:B285">
    <cfRule type="duplicateValues" dxfId="42" priority="121650"/>
  </conditionalFormatting>
  <conditionalFormatting sqref="B316:B325">
    <cfRule type="duplicateValues" dxfId="41" priority="122029"/>
  </conditionalFormatting>
  <conditionalFormatting sqref="B326:B332">
    <cfRule type="duplicateValues" dxfId="40" priority="122806"/>
  </conditionalFormatting>
  <conditionalFormatting sqref="B511:B1048576 B1:B504">
    <cfRule type="duplicateValues" dxfId="39" priority="122999"/>
  </conditionalFormatting>
  <conditionalFormatting sqref="B335:B336">
    <cfRule type="duplicateValues" dxfId="38" priority="123131"/>
  </conditionalFormatting>
  <conditionalFormatting sqref="B337:B345">
    <cfRule type="duplicateValues" dxfId="37" priority="123309"/>
  </conditionalFormatting>
  <conditionalFormatting sqref="B365:B367">
    <cfRule type="duplicateValues" dxfId="36" priority="123638"/>
  </conditionalFormatting>
  <conditionalFormatting sqref="B368:B376">
    <cfRule type="duplicateValues" dxfId="35" priority="123771"/>
  </conditionalFormatting>
  <conditionalFormatting sqref="B405:B413">
    <cfRule type="duplicateValues" dxfId="34" priority="124304"/>
  </conditionalFormatting>
  <conditionalFormatting sqref="B420:B422">
    <cfRule type="duplicateValues" dxfId="33" priority="124436"/>
  </conditionalFormatting>
  <conditionalFormatting sqref="B423:B436">
    <cfRule type="duplicateValues" dxfId="32" priority="124617"/>
  </conditionalFormatting>
  <conditionalFormatting sqref="B483:B486">
    <cfRule type="duplicateValues" dxfId="31" priority="81"/>
  </conditionalFormatting>
  <conditionalFormatting sqref="B487:B494">
    <cfRule type="duplicateValues" dxfId="30" priority="125498"/>
  </conditionalFormatting>
  <conditionalFormatting sqref="B505:B510">
    <cfRule type="duplicateValues" dxfId="29" priority="125674"/>
  </conditionalFormatting>
  <conditionalFormatting sqref="B512:B515">
    <cfRule type="duplicateValues" dxfId="28" priority="79"/>
  </conditionalFormatting>
  <conditionalFormatting sqref="B414:B418">
    <cfRule type="duplicateValues" dxfId="27" priority="126722"/>
  </conditionalFormatting>
  <conditionalFormatting sqref="B245:B253">
    <cfRule type="duplicateValues" dxfId="26" priority="127068"/>
  </conditionalFormatting>
  <conditionalFormatting sqref="B147:B148">
    <cfRule type="duplicateValues" dxfId="25" priority="127582"/>
  </conditionalFormatting>
  <conditionalFormatting sqref="B263:B268">
    <cfRule type="duplicateValues" dxfId="24" priority="130062"/>
  </conditionalFormatting>
  <conditionalFormatting sqref="B465:B475">
    <cfRule type="duplicateValues" dxfId="23" priority="130576"/>
  </conditionalFormatting>
  <conditionalFormatting sqref="B437:B445">
    <cfRule type="duplicateValues" dxfId="22" priority="131270"/>
  </conditionalFormatting>
  <conditionalFormatting sqref="B7:B15">
    <cfRule type="duplicateValues" dxfId="21" priority="131448"/>
  </conditionalFormatting>
  <conditionalFormatting sqref="B92:B100">
    <cfRule type="duplicateValues" dxfId="20" priority="131626"/>
  </conditionalFormatting>
  <conditionalFormatting sqref="B110:B115">
    <cfRule type="duplicateValues" dxfId="19" priority="131794"/>
  </conditionalFormatting>
  <conditionalFormatting sqref="B16:B20">
    <cfRule type="duplicateValues" dxfId="18" priority="132140"/>
  </conditionalFormatting>
  <conditionalFormatting sqref="B21:B27">
    <cfRule type="duplicateValues" dxfId="17" priority="132318"/>
  </conditionalFormatting>
  <conditionalFormatting sqref="B73:B82">
    <cfRule type="duplicateValues" dxfId="16" priority="132654"/>
  </conditionalFormatting>
  <conditionalFormatting sqref="B83:B86">
    <cfRule type="duplicateValues" dxfId="15" priority="132822"/>
  </conditionalFormatting>
  <conditionalFormatting sqref="B101:B109">
    <cfRule type="duplicateValues" dxfId="14" priority="133000"/>
  </conditionalFormatting>
  <conditionalFormatting sqref="B542:B1048576 B482 B364 B333:B334 B1:B2 B269 B419 B28 B511 B241 B389 B212:B216 B60:B64 B87:B91 B516:B534 B254:B262 B346:B356 B423:B436 B169:B204 B286:B315 B446:B452 B116:B146">
    <cfRule type="duplicateValues" dxfId="13" priority="133133"/>
  </conditionalFormatting>
  <conditionalFormatting sqref="B542:B1048576 B482 B364 B333:B334 B1:B2 B419 B269 B511 B241 B28 B389 B212:B216 B60:B64 B87:B91 B516:B534 B254:B262 B346:B356 B423:B436 B169:B204 B286:B315 B446:B452 B116:B146">
    <cfRule type="duplicateValues" dxfId="12" priority="133156"/>
  </conditionalFormatting>
  <conditionalFormatting sqref="B191:B204">
    <cfRule type="duplicateValues" dxfId="11" priority="133190"/>
  </conditionalFormatting>
  <conditionalFormatting sqref="B205:B211">
    <cfRule type="duplicateValues" dxfId="10" priority="133504"/>
  </conditionalFormatting>
  <conditionalFormatting sqref="B226:B235">
    <cfRule type="duplicateValues" dxfId="9" priority="133640"/>
  </conditionalFormatting>
  <conditionalFormatting sqref="B357:B363">
    <cfRule type="duplicateValues" dxfId="8" priority="133766"/>
  </conditionalFormatting>
  <conditionalFormatting sqref="B377:B383">
    <cfRule type="duplicateValues" dxfId="7" priority="133901"/>
  </conditionalFormatting>
  <conditionalFormatting sqref="B384:B388">
    <cfRule type="duplicateValues" dxfId="6" priority="134205"/>
  </conditionalFormatting>
  <conditionalFormatting sqref="B393:B404">
    <cfRule type="duplicateValues" dxfId="5" priority="134341"/>
  </conditionalFormatting>
  <conditionalFormatting sqref="B457:B464">
    <cfRule type="duplicateValues" dxfId="4" priority="134477"/>
  </conditionalFormatting>
  <conditionalFormatting sqref="B476:B481">
    <cfRule type="duplicateValues" dxfId="3" priority="134613"/>
  </conditionalFormatting>
  <conditionalFormatting sqref="B495:B504">
    <cfRule type="duplicateValues" dxfId="2" priority="134749"/>
  </conditionalFormatting>
  <conditionalFormatting sqref="B535:B541">
    <cfRule type="duplicateValues" dxfId="1" priority="134893"/>
  </conditionalFormatting>
  <conditionalFormatting sqref="B43:B52">
    <cfRule type="duplicateValues" dxfId="0" priority="135029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27" min="1" max="8" man="1"/>
    <brk id="1" min="1" max="8" man="1"/>
    <brk id="144" min="1" max="8" man="1"/>
    <brk id="59" min="1" max="8" man="1"/>
    <brk id="388" min="1" max="8" man="1"/>
    <brk id="300" min="1" max="8" man="1"/>
    <brk id="481" min="1" max="8" man="1"/>
    <brk id="17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39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D49" sqref="D49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'[1]13. Spieltag'!A5</f>
        <v>München</v>
      </c>
      <c r="E1" s="131" t="str">
        <f>'[1]13. Spieltag'!B5</f>
        <v>Union Berlin</v>
      </c>
      <c r="F1" s="131"/>
      <c r="G1" s="131"/>
      <c r="H1" s="131"/>
      <c r="I1" s="132">
        <v>1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'[1]13. Spieltag'!A6</f>
        <v>Leipzig</v>
      </c>
      <c r="E2" s="137" t="str">
        <f>'[1]13. Spieltag'!B6</f>
        <v>Heidenheim</v>
      </c>
      <c r="F2" s="137"/>
      <c r="G2" s="137"/>
      <c r="H2" s="137"/>
      <c r="I2" s="138">
        <v>2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'[1]13. Spieltag'!A7</f>
        <v>Leverkusen</v>
      </c>
      <c r="E3" s="137" t="str">
        <f>'[1]13. Spieltag'!B7</f>
        <v>Dortmund</v>
      </c>
      <c r="F3" s="137"/>
      <c r="G3" s="137"/>
      <c r="H3" s="137"/>
      <c r="I3" s="138">
        <v>1</v>
      </c>
      <c r="J3" s="139">
        <v>1</v>
      </c>
      <c r="K3" s="128"/>
      <c r="L3" s="221" t="s">
        <v>9</v>
      </c>
      <c r="M3" s="222"/>
      <c r="N3" s="222"/>
      <c r="O3" s="222"/>
      <c r="P3" s="213">
        <f>Ergebniseingabe!B12</f>
        <v>1</v>
      </c>
      <c r="Q3" s="214">
        <f>Ergebniseingabe!B13</f>
        <v>0</v>
      </c>
      <c r="R3" s="221" t="s">
        <v>70</v>
      </c>
      <c r="S3" s="222"/>
      <c r="T3" s="222"/>
      <c r="U3" s="222"/>
      <c r="V3" s="215">
        <f>Ergebniseingabe!B30</f>
        <v>1</v>
      </c>
      <c r="W3" s="214">
        <f>Ergebniseingabe!B31</f>
        <v>2</v>
      </c>
    </row>
    <row r="4" spans="1:23" ht="13.5" x14ac:dyDescent="0.2">
      <c r="D4" s="136" t="str">
        <f>'[1]13. Spieltag'!A8</f>
        <v>Mainz</v>
      </c>
      <c r="E4" s="137" t="str">
        <f>'[1]13. Spieltag'!B8</f>
        <v>Freiburg</v>
      </c>
      <c r="F4" s="137"/>
      <c r="G4" s="137"/>
      <c r="H4" s="137"/>
      <c r="I4" s="138">
        <v>0</v>
      </c>
      <c r="J4" s="139">
        <v>1</v>
      </c>
      <c r="K4" s="128"/>
      <c r="L4" s="221" t="s">
        <v>329</v>
      </c>
      <c r="M4" s="222"/>
      <c r="N4" s="222"/>
      <c r="O4" s="222"/>
      <c r="P4" s="213">
        <f>Ergebniseingabe!B14</f>
        <v>0</v>
      </c>
      <c r="Q4" s="214">
        <f>Ergebniseingabe!B15</f>
        <v>2</v>
      </c>
      <c r="R4" s="221" t="s">
        <v>179</v>
      </c>
      <c r="S4" s="222"/>
      <c r="T4" s="222"/>
      <c r="U4" s="222"/>
      <c r="V4" s="215">
        <f>Ergebniseingabe!B32</f>
        <v>0</v>
      </c>
      <c r="W4" s="214">
        <f>Ergebniseingabe!B33</f>
        <v>1</v>
      </c>
    </row>
    <row r="5" spans="1:23" ht="13.5" x14ac:dyDescent="0.2">
      <c r="D5" s="136" t="str">
        <f>'[1]13. Spieltag'!A9</f>
        <v>M'gladbach</v>
      </c>
      <c r="E5" s="137" t="str">
        <f>'[1]13. Spieltag'!B9</f>
        <v>Hoffenheim</v>
      </c>
      <c r="F5" s="137"/>
      <c r="G5" s="137"/>
      <c r="H5" s="137"/>
      <c r="I5" s="138">
        <v>2</v>
      </c>
      <c r="J5" s="139">
        <v>1</v>
      </c>
      <c r="K5" s="128"/>
      <c r="L5" s="221" t="s">
        <v>32</v>
      </c>
      <c r="M5" s="222"/>
      <c r="N5" s="222"/>
      <c r="O5" s="222"/>
      <c r="P5" s="213">
        <f>Ergebniseingabe!B16</f>
        <v>1</v>
      </c>
      <c r="Q5" s="214">
        <f>Ergebniseingabe!B17</f>
        <v>1</v>
      </c>
      <c r="R5" s="221" t="s">
        <v>183</v>
      </c>
      <c r="S5" s="222"/>
      <c r="T5" s="222"/>
      <c r="U5" s="222"/>
      <c r="V5" s="215">
        <f>Ergebniseingabe!B34</f>
        <v>1</v>
      </c>
      <c r="W5" s="214">
        <f>Ergebniseingabe!B35</f>
        <v>0</v>
      </c>
    </row>
    <row r="6" spans="1:23" ht="13.5" x14ac:dyDescent="0.2">
      <c r="D6" s="136" t="str">
        <f>'[1]13. Spieltag'!A10</f>
        <v>Bochum</v>
      </c>
      <c r="E6" s="137" t="str">
        <f>'[1]13. Spieltag'!B10</f>
        <v>Wolfsburg</v>
      </c>
      <c r="F6" s="137"/>
      <c r="G6" s="137"/>
      <c r="H6" s="137"/>
      <c r="I6" s="138">
        <v>3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1</v>
      </c>
      <c r="Q6" s="214">
        <f>Ergebniseingabe!B19</f>
        <v>1</v>
      </c>
      <c r="R6" s="221" t="s">
        <v>425</v>
      </c>
      <c r="S6" s="222"/>
      <c r="T6" s="222"/>
      <c r="U6" s="222"/>
      <c r="V6" s="215">
        <f>Ergebniseingabe!B36</f>
        <v>1</v>
      </c>
      <c r="W6" s="214">
        <f>Ergebniseingabe!B37</f>
        <v>2</v>
      </c>
    </row>
    <row r="7" spans="1:23" ht="13.5" x14ac:dyDescent="0.2">
      <c r="D7" s="136" t="str">
        <f>'[1]13. Spieltag'!A11</f>
        <v>Augsburg</v>
      </c>
      <c r="E7" s="137" t="str">
        <f>'[1]13. Spieltag'!B11</f>
        <v>Frankfurt</v>
      </c>
      <c r="F7" s="137"/>
      <c r="G7" s="137"/>
      <c r="H7" s="137"/>
      <c r="I7" s="138">
        <v>2</v>
      </c>
      <c r="J7" s="139">
        <v>1</v>
      </c>
      <c r="K7" s="128"/>
      <c r="L7" s="221" t="s">
        <v>426</v>
      </c>
      <c r="M7" s="222"/>
      <c r="N7" s="222"/>
      <c r="O7" s="222"/>
      <c r="P7" s="213">
        <f>Ergebniseingabe!B20</f>
        <v>0</v>
      </c>
      <c r="Q7" s="214">
        <f>Ergebniseingabe!B21</f>
        <v>1</v>
      </c>
      <c r="R7" s="221" t="s">
        <v>96</v>
      </c>
      <c r="S7" s="222"/>
      <c r="T7" s="222"/>
      <c r="U7" s="222"/>
      <c r="V7" s="215">
        <f>Ergebniseingabe!B38</f>
        <v>2</v>
      </c>
      <c r="W7" s="214">
        <f>Ergebniseingabe!B39</f>
        <v>1</v>
      </c>
    </row>
    <row r="8" spans="1:23" ht="13.5" x14ac:dyDescent="0.2">
      <c r="D8" s="136" t="str">
        <f>'[1]13. Spieltag'!A12</f>
        <v>Stuttgart</v>
      </c>
      <c r="E8" s="137" t="str">
        <f>'[1]13. Spieltag'!B12</f>
        <v>Bremen</v>
      </c>
      <c r="F8" s="137"/>
      <c r="G8" s="137"/>
      <c r="H8" s="137"/>
      <c r="I8" s="138">
        <v>2</v>
      </c>
      <c r="J8" s="139">
        <v>0</v>
      </c>
      <c r="K8" s="128"/>
      <c r="L8" s="221" t="s">
        <v>128</v>
      </c>
      <c r="M8" s="222"/>
      <c r="N8" s="222"/>
      <c r="O8" s="222"/>
      <c r="P8" s="213">
        <f>Ergebniseingabe!B22</f>
        <v>2</v>
      </c>
      <c r="Q8" s="214">
        <f>Ergebniseingabe!B23</f>
        <v>1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0</v>
      </c>
    </row>
    <row r="9" spans="1:23" ht="14.25" thickBot="1" x14ac:dyDescent="0.25">
      <c r="D9" s="140" t="str">
        <f>'[1]13. Spieltag'!A13</f>
        <v>Darmstadt</v>
      </c>
      <c r="E9" s="141" t="str">
        <f>'[1]13. Spieltag'!B13</f>
        <v>Köln</v>
      </c>
      <c r="F9" s="141"/>
      <c r="G9" s="141"/>
      <c r="H9" s="141"/>
      <c r="I9" s="170">
        <v>0</v>
      </c>
      <c r="J9" s="171">
        <v>1</v>
      </c>
      <c r="K9" s="128"/>
      <c r="L9" s="221" t="s">
        <v>265</v>
      </c>
      <c r="M9" s="222"/>
      <c r="N9" s="222"/>
      <c r="O9" s="222"/>
      <c r="P9" s="213">
        <f>Ergebniseingabe!B24</f>
        <v>3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1</v>
      </c>
      <c r="W9" s="214">
        <f>Ergebniseingabe!B43</f>
        <v>2</v>
      </c>
    </row>
    <row r="10" spans="1:23" ht="13.5" customHeight="1" thickBot="1" x14ac:dyDescent="0.25">
      <c r="D10" s="53"/>
      <c r="G10" s="20"/>
      <c r="H10" s="11"/>
      <c r="I10" s="225">
        <f>SUM(I1:J9)</f>
        <v>20</v>
      </c>
      <c r="J10" s="225"/>
      <c r="K10" s="128"/>
      <c r="L10" s="221" t="s">
        <v>229</v>
      </c>
      <c r="M10" s="222"/>
      <c r="N10" s="222"/>
      <c r="O10" s="222"/>
      <c r="P10" s="213">
        <f>Ergebniseingabe!B26</f>
        <v>2</v>
      </c>
      <c r="Q10" s="214">
        <f>Ergebniseingabe!B27</f>
        <v>0</v>
      </c>
      <c r="R10" s="221" t="s">
        <v>120</v>
      </c>
      <c r="S10" s="222"/>
      <c r="T10" s="222"/>
      <c r="U10" s="222"/>
      <c r="V10" s="215">
        <f>Ergebniseingabe!B44</f>
        <v>0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1</v>
      </c>
      <c r="Q11" s="214">
        <f>Ergebniseingabe!B29</f>
        <v>3</v>
      </c>
      <c r="R11" s="221" t="s">
        <v>69</v>
      </c>
      <c r="S11" s="222"/>
      <c r="T11" s="222"/>
      <c r="U11" s="222"/>
      <c r="V11" s="215">
        <f>Ergebniseingabe!B46</f>
        <v>2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B15+B41+B73+B282+B158+B346+B225+B129+B187+B523+B100+B377+B254+B314+B431+B402+B494+B464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SUM(B16:B40)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2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661</v>
      </c>
      <c r="H16" s="154">
        <f t="shared" ref="H16:H21" si="0">IF(G16="x",10,0)</f>
        <v>10</v>
      </c>
      <c r="I16" s="153"/>
      <c r="J16" s="154">
        <f t="shared" ref="J16:J21" si="1">IF((I16="x"),-10,0)</f>
        <v>0</v>
      </c>
      <c r="K16" s="153"/>
      <c r="L16" s="154">
        <f t="shared" ref="L16:L21" si="2">IF((K16="x"),-20,0)</f>
        <v>0</v>
      </c>
      <c r="M16" s="153"/>
      <c r="N16" s="154">
        <f t="shared" ref="N16:N21" si="3">IF((M16="x"),-30,0)</f>
        <v>0</v>
      </c>
      <c r="O16" s="155">
        <f t="shared" ref="O16:O40" si="4">IF(AND($P$3&gt;$Q$3),20,IF($P$3=$Q$3,10,0))</f>
        <v>20</v>
      </c>
      <c r="P16" s="155">
        <f t="shared" ref="P16:P40" si="5">IF(($P$3&lt;&gt;0),$P$3*10,-5)</f>
        <v>10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1" si="6">T16*-15</f>
        <v>0</v>
      </c>
      <c r="V16" s="155">
        <f t="shared" ref="V16:V21" si="7">IF(AND(R16=2),10,IF(R16=3,30,IF(R16=4,50,IF(R16=5,70,0))))</f>
        <v>0</v>
      </c>
      <c r="W16" s="156">
        <f t="shared" ref="W16:W21" si="8">IF(G16="x",H16+J16+L16+N16+O16+P16+Q16+S16+U16+V16,0)</f>
        <v>60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10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" si="9">IF(G18="x",10,0)</f>
        <v>0</v>
      </c>
      <c r="I18" s="14"/>
      <c r="J18" s="15">
        <f t="shared" ref="J18" si="10">IF((I18="x"),-10,0)</f>
        <v>0</v>
      </c>
      <c r="K18" s="14"/>
      <c r="L18" s="15">
        <f t="shared" ref="L18" si="11">IF((K18="x"),-20,0)</f>
        <v>0</v>
      </c>
      <c r="M18" s="14"/>
      <c r="N18" s="15">
        <f t="shared" ref="N18" si="12">IF((M18="x"),-30,0)</f>
        <v>0</v>
      </c>
      <c r="O18" s="16">
        <f t="shared" si="4"/>
        <v>20</v>
      </c>
      <c r="P18" s="16">
        <f t="shared" si="5"/>
        <v>10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" si="13">T18*-15</f>
        <v>0</v>
      </c>
      <c r="V18" s="16">
        <f t="shared" ref="V18" si="14">IF(AND(R18=2),10,IF(R18=3,30,IF(R18=4,50,IF(R18=5,70,0))))</f>
        <v>0</v>
      </c>
      <c r="W18" s="17">
        <f t="shared" ref="W18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0"/>
        <v>0</v>
      </c>
      <c r="I19" s="14"/>
      <c r="J19" s="15">
        <f t="shared" si="1"/>
        <v>0</v>
      </c>
      <c r="K19" s="14"/>
      <c r="L19" s="15">
        <f t="shared" si="2"/>
        <v>0</v>
      </c>
      <c r="M19" s="14"/>
      <c r="N19" s="15">
        <f t="shared" si="3"/>
        <v>0</v>
      </c>
      <c r="O19" s="16">
        <f t="shared" si="4"/>
        <v>20</v>
      </c>
      <c r="P19" s="16">
        <f t="shared" si="5"/>
        <v>10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6"/>
        <v>0</v>
      </c>
      <c r="V19" s="16">
        <f t="shared" si="7"/>
        <v>0</v>
      </c>
      <c r="W19" s="17">
        <f t="shared" si="8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2</v>
      </c>
      <c r="D20" s="21" t="str">
        <f>Spieltag!B7</f>
        <v>Dayot Upamecano (A)</v>
      </c>
      <c r="E20" s="12" t="str">
        <f>Spieltag!C7</f>
        <v>Abwehr</v>
      </c>
      <c r="F20" s="13" t="s">
        <v>54</v>
      </c>
      <c r="G20" s="14"/>
      <c r="H20" s="15">
        <f t="shared" ref="H20" si="16">IF(G20="x",10,0)</f>
        <v>0</v>
      </c>
      <c r="I20" s="14"/>
      <c r="J20" s="15">
        <f t="shared" ref="J20" si="17">IF((I20="x"),-10,0)</f>
        <v>0</v>
      </c>
      <c r="K20" s="14"/>
      <c r="L20" s="15">
        <f t="shared" ref="L20" si="18">IF((K20="x"),-20,0)</f>
        <v>0</v>
      </c>
      <c r="M20" s="14"/>
      <c r="N20" s="15">
        <f t="shared" ref="N20" si="19">IF((M20="x"),-30,0)</f>
        <v>0</v>
      </c>
      <c r="O20" s="16">
        <f t="shared" si="4"/>
        <v>20</v>
      </c>
      <c r="P20" s="16">
        <f t="shared" si="5"/>
        <v>10</v>
      </c>
      <c r="Q20" s="16">
        <f t="shared" ref="Q20:Q28" si="20">IF(($Q$3&lt;&gt;0),$Q$3*-10,15)</f>
        <v>15</v>
      </c>
      <c r="R20" s="14"/>
      <c r="S20" s="15">
        <f>R20*15</f>
        <v>0</v>
      </c>
      <c r="T20" s="14"/>
      <c r="U20" s="15">
        <f t="shared" ref="U20" si="21">T20*-15</f>
        <v>0</v>
      </c>
      <c r="V20" s="16">
        <f t="shared" ref="V20" si="22">IF(AND(R20=2),10,IF(R20=3,30,IF(R20=4,50,IF(R20=5,70,0))))</f>
        <v>0</v>
      </c>
      <c r="W20" s="17">
        <f t="shared" ref="W20" si="23">IF(G20="x",H20+J20+L20+N20+O20+P20+Q20+S20+U20+V20,0)</f>
        <v>0</v>
      </c>
    </row>
    <row r="21" spans="1:23" ht="10.5" customHeight="1" x14ac:dyDescent="0.2">
      <c r="A21" s="11"/>
      <c r="B21" s="163">
        <f>COUNTA(Spieltag!K8:AA8)</f>
        <v>2</v>
      </c>
      <c r="C21" s="166">
        <f>Spieltag!A8</f>
        <v>3</v>
      </c>
      <c r="D21" s="21" t="str">
        <f>Spieltag!B8</f>
        <v>Min-Jae Kim (A)</v>
      </c>
      <c r="E21" s="12" t="str">
        <f>Spieltag!C8</f>
        <v>Abwehr</v>
      </c>
      <c r="F21" s="13" t="s">
        <v>54</v>
      </c>
      <c r="G21" s="14" t="s">
        <v>59</v>
      </c>
      <c r="H21" s="15">
        <f t="shared" si="0"/>
        <v>0</v>
      </c>
      <c r="I21" s="14"/>
      <c r="J21" s="15">
        <f t="shared" si="1"/>
        <v>0</v>
      </c>
      <c r="K21" s="14"/>
      <c r="L21" s="15">
        <f t="shared" si="2"/>
        <v>0</v>
      </c>
      <c r="M21" s="14"/>
      <c r="N21" s="15">
        <f t="shared" si="3"/>
        <v>0</v>
      </c>
      <c r="O21" s="16">
        <f t="shared" si="4"/>
        <v>20</v>
      </c>
      <c r="P21" s="16">
        <f t="shared" si="5"/>
        <v>10</v>
      </c>
      <c r="Q21" s="16">
        <f t="shared" si="20"/>
        <v>15</v>
      </c>
      <c r="R21" s="14"/>
      <c r="S21" s="15">
        <f>R21*15</f>
        <v>0</v>
      </c>
      <c r="T21" s="14"/>
      <c r="U21" s="15">
        <f t="shared" si="6"/>
        <v>0</v>
      </c>
      <c r="V21" s="16">
        <f t="shared" si="7"/>
        <v>0</v>
      </c>
      <c r="W21" s="17">
        <f t="shared" si="8"/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4</v>
      </c>
      <c r="D22" s="21" t="str">
        <f>Spieltag!B9</f>
        <v>Matthijs de Ligt (A)</v>
      </c>
      <c r="E22" s="12" t="str">
        <f>Spieltag!C9</f>
        <v>Abwehr</v>
      </c>
      <c r="F22" s="13" t="s">
        <v>54</v>
      </c>
      <c r="G22" s="14"/>
      <c r="H22" s="15">
        <f t="shared" ref="H22" si="24">IF(G22="x",10,0)</f>
        <v>0</v>
      </c>
      <c r="I22" s="14"/>
      <c r="J22" s="15">
        <f t="shared" ref="J22" si="25">IF((I22="x"),-10,0)</f>
        <v>0</v>
      </c>
      <c r="K22" s="14"/>
      <c r="L22" s="15">
        <f t="shared" ref="L22" si="26">IF((K22="x"),-20,0)</f>
        <v>0</v>
      </c>
      <c r="M22" s="14"/>
      <c r="N22" s="15">
        <f t="shared" ref="N22" si="27">IF((M22="x"),-30,0)</f>
        <v>0</v>
      </c>
      <c r="O22" s="16">
        <f t="shared" si="4"/>
        <v>20</v>
      </c>
      <c r="P22" s="16">
        <f t="shared" si="5"/>
        <v>10</v>
      </c>
      <c r="Q22" s="16">
        <f t="shared" si="20"/>
        <v>15</v>
      </c>
      <c r="R22" s="14"/>
      <c r="S22" s="15">
        <f t="shared" ref="S22" si="28">R22*15</f>
        <v>0</v>
      </c>
      <c r="T22" s="14"/>
      <c r="U22" s="15">
        <f t="shared" ref="U22" si="29">T22*-15</f>
        <v>0</v>
      </c>
      <c r="V22" s="16">
        <f t="shared" ref="V22" si="30">IF(AND(R22=2),10,IF(R22=3,30,IF(R22=4,50,IF(R22=5,70,0))))</f>
        <v>0</v>
      </c>
      <c r="W22" s="17">
        <f t="shared" ref="W22" si="31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ref="H23:H26" si="32">IF(G23="x",10,0)</f>
        <v>0</v>
      </c>
      <c r="I23" s="14"/>
      <c r="J23" s="15">
        <f t="shared" ref="J23:J26" si="33">IF((I23="x"),-10,0)</f>
        <v>0</v>
      </c>
      <c r="K23" s="14"/>
      <c r="L23" s="15">
        <f t="shared" ref="L23:L26" si="34">IF((K23="x"),-20,0)</f>
        <v>0</v>
      </c>
      <c r="M23" s="14"/>
      <c r="N23" s="15">
        <f t="shared" ref="N23:N26" si="35">IF((M23="x"),-30,0)</f>
        <v>0</v>
      </c>
      <c r="O23" s="16">
        <f t="shared" si="4"/>
        <v>20</v>
      </c>
      <c r="P23" s="16">
        <f t="shared" si="5"/>
        <v>10</v>
      </c>
      <c r="Q23" s="16">
        <f t="shared" si="20"/>
        <v>15</v>
      </c>
      <c r="R23" s="14"/>
      <c r="S23" s="15">
        <f t="shared" ref="S23:S26" si="36">R23*15</f>
        <v>0</v>
      </c>
      <c r="T23" s="14"/>
      <c r="U23" s="15">
        <f t="shared" ref="U23:U26" si="37">T23*-15</f>
        <v>0</v>
      </c>
      <c r="V23" s="16">
        <f t="shared" ref="V23:V26" si="38">IF(AND(R23=2),10,IF(R23=3,30,IF(R23=4,50,IF(R23=5,70,0))))</f>
        <v>0</v>
      </c>
      <c r="W23" s="17">
        <f t="shared" ref="W23:W26" si="39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10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10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10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10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10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1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661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10</v>
      </c>
      <c r="Q29" s="16">
        <f t="shared" ref="Q29:Q33" si="56">IF(($Q$3&lt;&gt;0),$Q$3*-10,10)</f>
        <v>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50</v>
      </c>
    </row>
    <row r="30" spans="1:23" ht="10.5" customHeight="1" x14ac:dyDescent="0.2">
      <c r="A30" s="11"/>
      <c r="B30" s="163">
        <f>COUNTA(Spieltag!K17:AA17)</f>
        <v>3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661</v>
      </c>
      <c r="H30" s="15">
        <f t="shared" ref="H30:H33" si="57">IF(G30="x",10,0)</f>
        <v>10</v>
      </c>
      <c r="I30" s="14"/>
      <c r="J30" s="15">
        <f t="shared" ref="J30:J33" si="58">IF((I30="x"),-10,0)</f>
        <v>0</v>
      </c>
      <c r="K30" s="14"/>
      <c r="L30" s="15">
        <f t="shared" ref="L30:L33" si="59">IF((K30="x"),-20,0)</f>
        <v>0</v>
      </c>
      <c r="M30" s="14"/>
      <c r="N30" s="15">
        <f t="shared" ref="N30:N33" si="60">IF((M30="x"),-30,0)</f>
        <v>0</v>
      </c>
      <c r="O30" s="16">
        <f t="shared" si="4"/>
        <v>20</v>
      </c>
      <c r="P30" s="16">
        <f t="shared" si="5"/>
        <v>10</v>
      </c>
      <c r="Q30" s="16">
        <f t="shared" si="56"/>
        <v>10</v>
      </c>
      <c r="R30" s="14"/>
      <c r="S30" s="15">
        <f t="shared" ref="S30:S33" si="61">R30*10</f>
        <v>0</v>
      </c>
      <c r="T30" s="14"/>
      <c r="U30" s="15">
        <f t="shared" ref="U30:U33" si="62">T30*-15</f>
        <v>0</v>
      </c>
      <c r="V30" s="16">
        <f t="shared" ref="V30:V33" si="63">IF(AND(R30=2),10,IF(R30=3,30,IF(R30=4,50,IF(R30=5,70,0))))</f>
        <v>0</v>
      </c>
      <c r="W30" s="17">
        <f t="shared" ref="W30:W33" si="64">IF(G30="x",H30+J30+L30+N30+O30+P30+Q30+S30+U30+V30,0)</f>
        <v>50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27</v>
      </c>
      <c r="D31" s="21" t="str">
        <f>Spieltag!B18</f>
        <v>Konrad Laimer (A)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10</v>
      </c>
      <c r="Q31" s="16">
        <f t="shared" si="56"/>
        <v>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42</v>
      </c>
      <c r="D32" s="21" t="str">
        <f>Spieltag!B19</f>
        <v>Jamal Musiala</v>
      </c>
      <c r="E32" s="12" t="str">
        <f>Spieltag!C19</f>
        <v>Mittelfeld</v>
      </c>
      <c r="F32" s="13" t="s">
        <v>54</v>
      </c>
      <c r="G32" s="14"/>
      <c r="H32" s="15">
        <f t="shared" ref="H32" si="65">IF(G32="x",10,0)</f>
        <v>0</v>
      </c>
      <c r="I32" s="14"/>
      <c r="J32" s="15">
        <f t="shared" ref="J32" si="66">IF((I32="x"),-10,0)</f>
        <v>0</v>
      </c>
      <c r="K32" s="14"/>
      <c r="L32" s="15">
        <f t="shared" ref="L32" si="67">IF((K32="x"),-20,0)</f>
        <v>0</v>
      </c>
      <c r="M32" s="14"/>
      <c r="N32" s="15">
        <f t="shared" ref="N32" si="68">IF((M32="x"),-30,0)</f>
        <v>0</v>
      </c>
      <c r="O32" s="16">
        <f t="shared" si="4"/>
        <v>20</v>
      </c>
      <c r="P32" s="16">
        <f t="shared" si="5"/>
        <v>10</v>
      </c>
      <c r="Q32" s="16">
        <f t="shared" si="56"/>
        <v>10</v>
      </c>
      <c r="R32" s="14"/>
      <c r="S32" s="15">
        <f t="shared" ref="S32" si="69">R32*10</f>
        <v>0</v>
      </c>
      <c r="T32" s="14"/>
      <c r="U32" s="15">
        <f t="shared" ref="U32" si="70">T32*-15</f>
        <v>0</v>
      </c>
      <c r="V32" s="16">
        <f t="shared" ref="V32" si="71">IF(AND(R32=2),10,IF(R32=3,30,IF(R32=4,50,IF(R32=5,70,0))))</f>
        <v>0</v>
      </c>
      <c r="W32" s="17">
        <f t="shared" ref="W32" si="72"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45</v>
      </c>
      <c r="D33" s="21" t="str">
        <f>Spieltag!B20</f>
        <v>Aleksandar Pavlovic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10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7</v>
      </c>
      <c r="D34" s="21" t="str">
        <f>Spieltag!B21</f>
        <v>Serge Gnabry</v>
      </c>
      <c r="E34" s="12" t="str">
        <f>Spieltag!C21</f>
        <v>Sturm</v>
      </c>
      <c r="F34" s="13" t="s">
        <v>54</v>
      </c>
      <c r="G34" s="14"/>
      <c r="H34" s="15">
        <f>IF(G34="x",10,0)</f>
        <v>0</v>
      </c>
      <c r="I34" s="14"/>
      <c r="J34" s="15">
        <f>IF((I34="x"),-10,0)</f>
        <v>0</v>
      </c>
      <c r="K34" s="14"/>
      <c r="L34" s="15">
        <f>IF((K34="x"),-20,0)</f>
        <v>0</v>
      </c>
      <c r="M34" s="14"/>
      <c r="N34" s="15">
        <f>IF((M34="x"),-30,0)</f>
        <v>0</v>
      </c>
      <c r="O34" s="16">
        <f t="shared" si="4"/>
        <v>20</v>
      </c>
      <c r="P34" s="16">
        <f t="shared" si="5"/>
        <v>10</v>
      </c>
      <c r="Q34" s="16">
        <f>IF(($Q$3&lt;&gt;0),$Q$3*-10,5)</f>
        <v>5</v>
      </c>
      <c r="R34" s="14"/>
      <c r="S34" s="15">
        <f>R34*10</f>
        <v>0</v>
      </c>
      <c r="T34" s="14"/>
      <c r="U34" s="15">
        <f>T34*-15</f>
        <v>0</v>
      </c>
      <c r="V34" s="16">
        <f>IF(AND(R34=2),10,IF(R34=3,30,IF(R34=4,50,IF(R34=5,70,0))))</f>
        <v>0</v>
      </c>
      <c r="W34" s="17">
        <f>IF(G34="x",H34+J34+L34+N34+O34+P34+Q34+S34+U34+V34,0)</f>
        <v>0</v>
      </c>
    </row>
    <row r="35" spans="1:23" ht="10.5" customHeight="1" x14ac:dyDescent="0.2">
      <c r="A35" s="11"/>
      <c r="B35" s="163">
        <f>COUNTA(Spieltag!K22:AA22)</f>
        <v>8</v>
      </c>
      <c r="C35" s="166">
        <f>Spieltag!A22</f>
        <v>9</v>
      </c>
      <c r="D35" s="21" t="str">
        <f>Spieltag!B22</f>
        <v>Harry Kane (A)</v>
      </c>
      <c r="E35" s="12" t="str">
        <f>Spieltag!C22</f>
        <v>Sturm</v>
      </c>
      <c r="F35" s="13" t="s">
        <v>54</v>
      </c>
      <c r="G35" s="14" t="s">
        <v>661</v>
      </c>
      <c r="H35" s="15">
        <f t="shared" ref="H35" si="73">IF(G35="x",10,0)</f>
        <v>10</v>
      </c>
      <c r="I35" s="14" t="s">
        <v>661</v>
      </c>
      <c r="J35" s="15">
        <f t="shared" ref="J35" si="74">IF((I35="x"),-10,0)</f>
        <v>-10</v>
      </c>
      <c r="K35" s="14"/>
      <c r="L35" s="15">
        <f t="shared" ref="L35" si="75">IF((K35="x"),-20,0)</f>
        <v>0</v>
      </c>
      <c r="M35" s="14"/>
      <c r="N35" s="15">
        <f t="shared" ref="N35" si="76">IF((M35="x"),-30,0)</f>
        <v>0</v>
      </c>
      <c r="O35" s="16">
        <f t="shared" si="4"/>
        <v>20</v>
      </c>
      <c r="P35" s="16">
        <f t="shared" si="5"/>
        <v>10</v>
      </c>
      <c r="Q35" s="16">
        <f t="shared" ref="Q35:Q40" si="77">IF(($Q$3&lt;&gt;0),$Q$3*-10,5)</f>
        <v>5</v>
      </c>
      <c r="R35" s="14"/>
      <c r="S35" s="15">
        <f t="shared" ref="S35" si="78">R35*10</f>
        <v>0</v>
      </c>
      <c r="T35" s="14"/>
      <c r="U35" s="15">
        <f t="shared" ref="U35" si="79">T35*-15</f>
        <v>0</v>
      </c>
      <c r="V35" s="16">
        <f t="shared" ref="V35" si="80">IF(AND(R35=2),10,IF(R35=3,30,IF(R35=4,50,IF(R35=5,70,0))))</f>
        <v>0</v>
      </c>
      <c r="W35" s="17">
        <f t="shared" ref="W35" si="81">IF(G35="x",H35+J35+L35+N35+O35+P35+Q35+S35+U35+V35,0)</f>
        <v>35</v>
      </c>
    </row>
    <row r="36" spans="1:23" ht="10.5" customHeight="1" x14ac:dyDescent="0.2">
      <c r="A36" s="11"/>
      <c r="B36" s="163">
        <f>COUNTA(Spieltag!K23:AA23)</f>
        <v>2</v>
      </c>
      <c r="C36" s="166">
        <f>Spieltag!A23</f>
        <v>10</v>
      </c>
      <c r="D36" s="21" t="str">
        <f>Spieltag!B23</f>
        <v>Leroy Sané</v>
      </c>
      <c r="E36" s="12" t="str">
        <f>Spieltag!C23</f>
        <v>Sturm</v>
      </c>
      <c r="F36" s="13" t="s">
        <v>54</v>
      </c>
      <c r="G36" s="14" t="s">
        <v>661</v>
      </c>
      <c r="H36" s="15">
        <f t="shared" ref="H36:H40" si="82">IF(G36="x",10,0)</f>
        <v>10</v>
      </c>
      <c r="I36" s="14"/>
      <c r="J36" s="15">
        <f t="shared" ref="J36:J40" si="83">IF((I36="x"),-10,0)</f>
        <v>0</v>
      </c>
      <c r="K36" s="14"/>
      <c r="L36" s="15">
        <f t="shared" ref="L36:L40" si="84">IF((K36="x"),-20,0)</f>
        <v>0</v>
      </c>
      <c r="M36" s="14"/>
      <c r="N36" s="15">
        <f t="shared" ref="N36:N40" si="85">IF((M36="x"),-30,0)</f>
        <v>0</v>
      </c>
      <c r="O36" s="16">
        <f t="shared" si="4"/>
        <v>20</v>
      </c>
      <c r="P36" s="16">
        <f t="shared" si="5"/>
        <v>10</v>
      </c>
      <c r="Q36" s="16">
        <f t="shared" si="77"/>
        <v>5</v>
      </c>
      <c r="R36" s="14"/>
      <c r="S36" s="15">
        <f t="shared" ref="S36:S40" si="86">R36*10</f>
        <v>0</v>
      </c>
      <c r="T36" s="14"/>
      <c r="U36" s="15">
        <f t="shared" ref="U36:U40" si="87">T36*-15</f>
        <v>0</v>
      </c>
      <c r="V36" s="16">
        <f t="shared" ref="V36:V40" si="88">IF(AND(R36=2),10,IF(R36=3,30,IF(R36=4,50,IF(R36=5,70,0))))</f>
        <v>0</v>
      </c>
      <c r="W36" s="17">
        <f t="shared" ref="W36:W40" si="89">IF(G36="x",H36+J36+L36+N36+O36+P36+Q36+S36+U36+V36,0)</f>
        <v>45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11</v>
      </c>
      <c r="D37" s="21" t="str">
        <f>Spieltag!B24</f>
        <v>Kingsley Coman (A)</v>
      </c>
      <c r="E37" s="12" t="str">
        <f>Spieltag!C24</f>
        <v>Sturm</v>
      </c>
      <c r="F37" s="13" t="s">
        <v>54</v>
      </c>
      <c r="G37" s="14"/>
      <c r="H37" s="15">
        <f t="shared" si="82"/>
        <v>0</v>
      </c>
      <c r="I37" s="14"/>
      <c r="J37" s="15">
        <f t="shared" si="83"/>
        <v>0</v>
      </c>
      <c r="K37" s="14"/>
      <c r="L37" s="15">
        <f t="shared" si="84"/>
        <v>0</v>
      </c>
      <c r="M37" s="14"/>
      <c r="N37" s="15">
        <f t="shared" si="85"/>
        <v>0</v>
      </c>
      <c r="O37" s="16">
        <f t="shared" si="4"/>
        <v>20</v>
      </c>
      <c r="P37" s="16">
        <f t="shared" si="5"/>
        <v>10</v>
      </c>
      <c r="Q37" s="16">
        <f t="shared" si="77"/>
        <v>5</v>
      </c>
      <c r="R37" s="14"/>
      <c r="S37" s="15">
        <f t="shared" si="86"/>
        <v>0</v>
      </c>
      <c r="T37" s="14"/>
      <c r="U37" s="15">
        <f t="shared" si="87"/>
        <v>0</v>
      </c>
      <c r="V37" s="16">
        <f t="shared" si="88"/>
        <v>0</v>
      </c>
      <c r="W37" s="17">
        <f t="shared" si="89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13</v>
      </c>
      <c r="D38" s="21" t="str">
        <f>Spieltag!B25</f>
        <v>Eric-Maxim Choupo-Moting</v>
      </c>
      <c r="E38" s="12" t="str">
        <f>Spieltag!C25</f>
        <v>Sturm</v>
      </c>
      <c r="F38" s="13" t="s">
        <v>54</v>
      </c>
      <c r="G38" s="14"/>
      <c r="H38" s="15">
        <f t="shared" si="82"/>
        <v>0</v>
      </c>
      <c r="I38" s="14"/>
      <c r="J38" s="15">
        <f t="shared" si="83"/>
        <v>0</v>
      </c>
      <c r="K38" s="14"/>
      <c r="L38" s="15">
        <f t="shared" si="84"/>
        <v>0</v>
      </c>
      <c r="M38" s="14"/>
      <c r="N38" s="15">
        <f t="shared" si="85"/>
        <v>0</v>
      </c>
      <c r="O38" s="16">
        <f t="shared" si="4"/>
        <v>20</v>
      </c>
      <c r="P38" s="16">
        <f t="shared" si="5"/>
        <v>10</v>
      </c>
      <c r="Q38" s="16">
        <f t="shared" si="77"/>
        <v>5</v>
      </c>
      <c r="R38" s="14"/>
      <c r="S38" s="15">
        <f t="shared" si="86"/>
        <v>0</v>
      </c>
      <c r="T38" s="14"/>
      <c r="U38" s="15">
        <f t="shared" si="87"/>
        <v>0</v>
      </c>
      <c r="V38" s="16">
        <f t="shared" si="88"/>
        <v>0</v>
      </c>
      <c r="W38" s="17">
        <f t="shared" si="89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25</v>
      </c>
      <c r="D39" s="21" t="str">
        <f>Spieltag!B26</f>
        <v>Thomas Müller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10</v>
      </c>
      <c r="Q39" s="16">
        <f t="shared" si="77"/>
        <v>5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39</v>
      </c>
      <c r="D40" s="21" t="str">
        <f>Spieltag!B27</f>
        <v>Mathys Tel (A)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10</v>
      </c>
      <c r="Q40" s="16">
        <f t="shared" si="77"/>
        <v>5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s="144" customFormat="1" ht="17.25" thickBot="1" x14ac:dyDescent="0.25">
      <c r="A41" s="142"/>
      <c r="B41" s="143">
        <f>SUM(B42:B72)</f>
        <v>12</v>
      </c>
      <c r="C41" s="158"/>
      <c r="D41" s="234" t="s">
        <v>32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5"/>
    </row>
    <row r="42" spans="1:23" ht="10.5" hidden="1" customHeight="1" x14ac:dyDescent="0.2">
      <c r="A42" s="11"/>
      <c r="B42" s="149">
        <f>COUNTA(Spieltag!K29:AA29)</f>
        <v>0</v>
      </c>
      <c r="C42" s="166">
        <f>Spieltag!A29</f>
        <v>1</v>
      </c>
      <c r="D42" s="21" t="str">
        <f>Spieltag!B29</f>
        <v>Gregor Kobel (A)</v>
      </c>
      <c r="E42" s="12" t="str">
        <f>Spieltag!C29</f>
        <v>Torwart</v>
      </c>
      <c r="F42" s="13" t="s">
        <v>57</v>
      </c>
      <c r="G42" s="14"/>
      <c r="H42" s="15">
        <f>IF(G42="x",10,0)</f>
        <v>0</v>
      </c>
      <c r="I42" s="14"/>
      <c r="J42" s="15">
        <f>IF((I42="x"),-10,0)</f>
        <v>0</v>
      </c>
      <c r="K42" s="14"/>
      <c r="L42" s="15">
        <f>IF((K42="x"),-20,0)</f>
        <v>0</v>
      </c>
      <c r="M42" s="14"/>
      <c r="N42" s="15">
        <f>IF((M42="x"),-30,0)</f>
        <v>0</v>
      </c>
      <c r="O42" s="16">
        <f>IF(AND($P$5&gt;$Q$5),20,IF($P$5=$Q$5,10,0))</f>
        <v>10</v>
      </c>
      <c r="P42" s="16">
        <f>IF(($P$5&lt;&gt;0),$P$5*10,-5)</f>
        <v>10</v>
      </c>
      <c r="Q42" s="16">
        <f>IF(($Q$5&lt;&gt;0),$Q$5*-10,20)</f>
        <v>-10</v>
      </c>
      <c r="R42" s="14"/>
      <c r="S42" s="15">
        <f>R42*20</f>
        <v>0</v>
      </c>
      <c r="T42" s="14"/>
      <c r="U42" s="15">
        <f>T42*-15</f>
        <v>0</v>
      </c>
      <c r="V42" s="16">
        <f>IF(AND(R42=2),10,IF(R42=3,30,IF(R42=4,50,IF(R42=5,70,0))))</f>
        <v>0</v>
      </c>
      <c r="W42" s="17">
        <f>IF(G42="x",H42+J42+L42+N42+O42+P42+Q42+S42+U42+V42,0)</f>
        <v>0</v>
      </c>
    </row>
    <row r="43" spans="1:23" ht="10.5" hidden="1" customHeight="1" x14ac:dyDescent="0.2">
      <c r="A43" s="11"/>
      <c r="B43" s="149">
        <f>COUNTA(Spieltag!K30:AA30)</f>
        <v>0</v>
      </c>
      <c r="C43" s="166">
        <f>Spieltag!A30</f>
        <v>31</v>
      </c>
      <c r="D43" s="21" t="str">
        <f>Spieltag!B30</f>
        <v>Silas Ostrzinski</v>
      </c>
      <c r="E43" s="12" t="str">
        <f>Spieltag!C30</f>
        <v>Torwart</v>
      </c>
      <c r="F43" s="13" t="s">
        <v>57</v>
      </c>
      <c r="G43" s="14"/>
      <c r="H43" s="15">
        <f t="shared" ref="H43" si="90">IF(G43="x",10,0)</f>
        <v>0</v>
      </c>
      <c r="I43" s="14"/>
      <c r="J43" s="15">
        <f t="shared" ref="J43" si="91">IF((I43="x"),-10,0)</f>
        <v>0</v>
      </c>
      <c r="K43" s="14"/>
      <c r="L43" s="15">
        <f t="shared" ref="L43" si="92">IF((K43="x"),-20,0)</f>
        <v>0</v>
      </c>
      <c r="M43" s="14"/>
      <c r="N43" s="15">
        <f t="shared" ref="N43" si="93">IF((M43="x"),-30,0)</f>
        <v>0</v>
      </c>
      <c r="O43" s="16">
        <f t="shared" ref="O43:O45" si="94">IF(AND($P$5&gt;$Q$5),20,IF($P$5=$Q$5,10,0))</f>
        <v>10</v>
      </c>
      <c r="P43" s="16">
        <f t="shared" ref="P43:P45" si="95">IF(($P$5&lt;&gt;0),$P$5*10,-5)</f>
        <v>10</v>
      </c>
      <c r="Q43" s="16">
        <f t="shared" ref="Q43:Q45" si="96">IF(($Q$5&lt;&gt;0),$Q$5*-10,20)</f>
        <v>-10</v>
      </c>
      <c r="R43" s="14"/>
      <c r="S43" s="15">
        <f t="shared" ref="S43" si="97">R43*20</f>
        <v>0</v>
      </c>
      <c r="T43" s="14"/>
      <c r="U43" s="15">
        <f t="shared" ref="U43" si="98">T43*-15</f>
        <v>0</v>
      </c>
      <c r="V43" s="16">
        <f t="shared" ref="V43" si="99">IF(AND(R43=2),10,IF(R43=3,30,IF(R43=4,50,IF(R43=5,70,0))))</f>
        <v>0</v>
      </c>
      <c r="W43" s="17">
        <f t="shared" ref="W43" si="100">IF(G43="x",H43+J43+L43+N43+O43+P43+Q43+S43+U43+V43,0)</f>
        <v>0</v>
      </c>
    </row>
    <row r="44" spans="1:23" ht="10.5" hidden="1" customHeight="1" x14ac:dyDescent="0.2">
      <c r="A44" s="11"/>
      <c r="B44" s="149">
        <f>COUNTA(Spieltag!K31:AA31)</f>
        <v>0</v>
      </c>
      <c r="C44" s="166">
        <f>Spieltag!A31</f>
        <v>33</v>
      </c>
      <c r="D44" s="21" t="str">
        <f>Spieltag!B31</f>
        <v>Alexander Meyer</v>
      </c>
      <c r="E44" s="12" t="str">
        <f>Spieltag!C31</f>
        <v>Torwart</v>
      </c>
      <c r="F44" s="13" t="s">
        <v>57</v>
      </c>
      <c r="G44" s="14"/>
      <c r="H44" s="15">
        <f t="shared" ref="H44" si="101">IF(G44="x",10,0)</f>
        <v>0</v>
      </c>
      <c r="I44" s="14"/>
      <c r="J44" s="15">
        <f t="shared" ref="J44" si="102">IF((I44="x"),-10,0)</f>
        <v>0</v>
      </c>
      <c r="K44" s="14"/>
      <c r="L44" s="15">
        <f t="shared" ref="L44" si="103">IF((K44="x"),-20,0)</f>
        <v>0</v>
      </c>
      <c r="M44" s="14"/>
      <c r="N44" s="15">
        <f t="shared" ref="N44" si="104">IF((M44="x"),-30,0)</f>
        <v>0</v>
      </c>
      <c r="O44" s="16">
        <f t="shared" si="94"/>
        <v>10</v>
      </c>
      <c r="P44" s="16">
        <f t="shared" si="95"/>
        <v>10</v>
      </c>
      <c r="Q44" s="16">
        <f t="shared" si="96"/>
        <v>-10</v>
      </c>
      <c r="R44" s="14"/>
      <c r="S44" s="15">
        <f t="shared" ref="S44" si="105">R44*20</f>
        <v>0</v>
      </c>
      <c r="T44" s="14"/>
      <c r="U44" s="15">
        <f t="shared" ref="U44" si="106">T44*-15</f>
        <v>0</v>
      </c>
      <c r="V44" s="16">
        <f t="shared" ref="V44" si="107">IF(AND(R44=2),10,IF(R44=3,30,IF(R44=4,50,IF(R44=5,70,0))))</f>
        <v>0</v>
      </c>
      <c r="W44" s="17">
        <f t="shared" ref="W44" si="108">IF(G44="x",H44+J44+L44+N44+O44+P44+Q44+S44+U44+V44,0)</f>
        <v>0</v>
      </c>
    </row>
    <row r="45" spans="1:23" ht="10.5" hidden="1" customHeight="1" x14ac:dyDescent="0.2">
      <c r="A45" s="11"/>
      <c r="B45" s="149">
        <f>COUNTA(Spieltag!K32:AA32)</f>
        <v>0</v>
      </c>
      <c r="C45" s="166">
        <f>Spieltag!A32</f>
        <v>35</v>
      </c>
      <c r="D45" s="21" t="str">
        <f>Spieltag!B32</f>
        <v>Marcel Lotka</v>
      </c>
      <c r="E45" s="12" t="str">
        <f>Spieltag!C32</f>
        <v>Torwart</v>
      </c>
      <c r="F45" s="13" t="s">
        <v>57</v>
      </c>
      <c r="G45" s="14"/>
      <c r="H45" s="15">
        <f t="shared" ref="H45" si="109">IF(G45="x",10,0)</f>
        <v>0</v>
      </c>
      <c r="I45" s="14"/>
      <c r="J45" s="15">
        <f t="shared" ref="J45" si="110">IF((I45="x"),-10,0)</f>
        <v>0</v>
      </c>
      <c r="K45" s="14"/>
      <c r="L45" s="15">
        <f t="shared" ref="L45" si="111">IF((K45="x"),-20,0)</f>
        <v>0</v>
      </c>
      <c r="M45" s="14"/>
      <c r="N45" s="15">
        <f t="shared" ref="N45" si="112">IF((M45="x"),-30,0)</f>
        <v>0</v>
      </c>
      <c r="O45" s="16">
        <f t="shared" si="94"/>
        <v>10</v>
      </c>
      <c r="P45" s="16">
        <f t="shared" si="95"/>
        <v>10</v>
      </c>
      <c r="Q45" s="16">
        <f t="shared" si="96"/>
        <v>-10</v>
      </c>
      <c r="R45" s="14"/>
      <c r="S45" s="15">
        <f t="shared" ref="S45" si="113">R45*20</f>
        <v>0</v>
      </c>
      <c r="T45" s="14"/>
      <c r="U45" s="15">
        <f t="shared" ref="U45" si="114">T45*-15</f>
        <v>0</v>
      </c>
      <c r="V45" s="16">
        <f t="shared" ref="V45" si="115">IF(AND(R45=2),10,IF(R45=3,30,IF(R45=4,50,IF(R45=5,70,0))))</f>
        <v>0</v>
      </c>
      <c r="W45" s="17">
        <f t="shared" ref="W45" si="116">IF(G45="x",H45+J45+L45+N45+O45+P45+Q45+S45+U45+V45,0)</f>
        <v>0</v>
      </c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2</v>
      </c>
      <c r="D46" s="21" t="str">
        <f>Spieltag!B33</f>
        <v>Mateu Morey (A)</v>
      </c>
      <c r="E46" s="12" t="str">
        <f>Spieltag!C33</f>
        <v>Abwehr</v>
      </c>
      <c r="F46" s="13" t="s">
        <v>57</v>
      </c>
      <c r="G46" s="14"/>
      <c r="H46" s="15">
        <f t="shared" ref="H46" si="117">IF(G46="x",10,0)</f>
        <v>0</v>
      </c>
      <c r="I46" s="14"/>
      <c r="J46" s="15">
        <f t="shared" ref="J46" si="118">IF((I46="x"),-10,0)</f>
        <v>0</v>
      </c>
      <c r="K46" s="14"/>
      <c r="L46" s="15">
        <f t="shared" ref="L46" si="119">IF((K46="x"),-20,0)</f>
        <v>0</v>
      </c>
      <c r="M46" s="14"/>
      <c r="N46" s="15">
        <f t="shared" ref="N46" si="120">IF((M46="x"),-30,0)</f>
        <v>0</v>
      </c>
      <c r="O46" s="16">
        <f t="shared" ref="O46:O55" si="121">IF(AND($P$5&gt;$Q$5),20,IF($P$5=$Q$5,10,0))</f>
        <v>10</v>
      </c>
      <c r="P46" s="16">
        <f t="shared" ref="P46:P55" si="122">IF(($P$5&lt;&gt;0),$P$5*10,-5)</f>
        <v>10</v>
      </c>
      <c r="Q46" s="16">
        <f t="shared" ref="Q46:Q55" si="123">IF(($Q$5&lt;&gt;0),$Q$5*-10,15)</f>
        <v>-10</v>
      </c>
      <c r="R46" s="14"/>
      <c r="S46" s="15">
        <f t="shared" ref="S46" si="124">R46*15</f>
        <v>0</v>
      </c>
      <c r="T46" s="14"/>
      <c r="U46" s="15">
        <f t="shared" ref="U46" si="125">T46*-15</f>
        <v>0</v>
      </c>
      <c r="V46" s="16">
        <f t="shared" ref="V46" si="126">IF(AND(R46=2),10,IF(R46=3,30,IF(R46=4,50,IF(R46=5,70,0))))</f>
        <v>0</v>
      </c>
      <c r="W46" s="17">
        <f t="shared" ref="W46" si="127">IF(G46="x",H46+J46+L46+N46+O46+P46+Q46+S46+U46+V46,0)</f>
        <v>0</v>
      </c>
    </row>
    <row r="47" spans="1:23" ht="10.5" customHeight="1" x14ac:dyDescent="0.2">
      <c r="A47" s="11"/>
      <c r="B47" s="149">
        <f>COUNTA(Spieltag!K34:AA34)</f>
        <v>1</v>
      </c>
      <c r="C47" s="166">
        <f>Spieltag!A34</f>
        <v>4</v>
      </c>
      <c r="D47" s="21" t="str">
        <f>Spieltag!B34</f>
        <v>Nico Schlotterbeck</v>
      </c>
      <c r="E47" s="12" t="str">
        <f>Spieltag!C34</f>
        <v>Abwehr</v>
      </c>
      <c r="F47" s="13" t="s">
        <v>57</v>
      </c>
      <c r="G47" s="14" t="s">
        <v>661</v>
      </c>
      <c r="H47" s="15">
        <f t="shared" ref="H47:H54" si="128">IF(G47="x",10,0)</f>
        <v>10</v>
      </c>
      <c r="I47" s="14"/>
      <c r="J47" s="15">
        <f t="shared" ref="J47:J54" si="129">IF((I47="x"),-10,0)</f>
        <v>0</v>
      </c>
      <c r="K47" s="14"/>
      <c r="L47" s="15">
        <f t="shared" ref="L47:L54" si="130">IF((K47="x"),-20,0)</f>
        <v>0</v>
      </c>
      <c r="M47" s="14"/>
      <c r="N47" s="15">
        <f t="shared" ref="N47:N54" si="131">IF((M47="x"),-30,0)</f>
        <v>0</v>
      </c>
      <c r="O47" s="16">
        <f t="shared" si="121"/>
        <v>10</v>
      </c>
      <c r="P47" s="16">
        <f t="shared" si="122"/>
        <v>10</v>
      </c>
      <c r="Q47" s="16">
        <f t="shared" si="123"/>
        <v>-10</v>
      </c>
      <c r="R47" s="14"/>
      <c r="S47" s="15">
        <f t="shared" ref="S47:S54" si="132">R47*15</f>
        <v>0</v>
      </c>
      <c r="T47" s="14"/>
      <c r="U47" s="15">
        <f t="shared" ref="U47:U54" si="133">T47*-15</f>
        <v>0</v>
      </c>
      <c r="V47" s="16">
        <f t="shared" ref="V47:V54" si="134">IF(AND(R47=2),10,IF(R47=3,30,IF(R47=4,50,IF(R47=5,70,0))))</f>
        <v>0</v>
      </c>
      <c r="W47" s="17">
        <f t="shared" ref="W47:W54" si="135">IF(G47="x",H47+J47+L47+N47+O47+P47+Q47+S47+U47+V47,0)</f>
        <v>20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5</v>
      </c>
      <c r="D48" s="21" t="str">
        <f>Spieltag!B35</f>
        <v>Ramy Bensebaini (A)</v>
      </c>
      <c r="E48" s="12" t="str">
        <f>Spieltag!C35</f>
        <v>Abwehr</v>
      </c>
      <c r="F48" s="13" t="s">
        <v>57</v>
      </c>
      <c r="G48" s="14"/>
      <c r="H48" s="15">
        <f t="shared" si="128"/>
        <v>0</v>
      </c>
      <c r="I48" s="14"/>
      <c r="J48" s="15">
        <f t="shared" si="129"/>
        <v>0</v>
      </c>
      <c r="K48" s="14"/>
      <c r="L48" s="15">
        <f t="shared" si="130"/>
        <v>0</v>
      </c>
      <c r="M48" s="14"/>
      <c r="N48" s="15">
        <f t="shared" si="131"/>
        <v>0</v>
      </c>
      <c r="O48" s="16">
        <f t="shared" si="121"/>
        <v>10</v>
      </c>
      <c r="P48" s="16">
        <f t="shared" si="122"/>
        <v>10</v>
      </c>
      <c r="Q48" s="16">
        <f t="shared" si="123"/>
        <v>-10</v>
      </c>
      <c r="R48" s="14"/>
      <c r="S48" s="15">
        <f t="shared" si="132"/>
        <v>0</v>
      </c>
      <c r="T48" s="14"/>
      <c r="U48" s="15">
        <f t="shared" si="133"/>
        <v>0</v>
      </c>
      <c r="V48" s="16">
        <f t="shared" si="134"/>
        <v>0</v>
      </c>
      <c r="W48" s="17">
        <f t="shared" si="135"/>
        <v>0</v>
      </c>
    </row>
    <row r="49" spans="1:23" ht="10.5" customHeight="1" x14ac:dyDescent="0.2">
      <c r="A49" s="11"/>
      <c r="B49" s="149">
        <f>COUNTA(Spieltag!K36:AA36)</f>
        <v>1</v>
      </c>
      <c r="C49" s="166">
        <f>Spieltag!A36</f>
        <v>15</v>
      </c>
      <c r="D49" s="21" t="str">
        <f>Spieltag!B36</f>
        <v>Mats Hummels</v>
      </c>
      <c r="E49" s="12" t="str">
        <f>Spieltag!C36</f>
        <v>Abwehr</v>
      </c>
      <c r="F49" s="13" t="s">
        <v>57</v>
      </c>
      <c r="G49" s="14" t="s">
        <v>661</v>
      </c>
      <c r="H49" s="15">
        <f t="shared" si="128"/>
        <v>10</v>
      </c>
      <c r="I49" s="14"/>
      <c r="J49" s="15">
        <f t="shared" si="129"/>
        <v>0</v>
      </c>
      <c r="K49" s="14"/>
      <c r="L49" s="15">
        <f t="shared" si="130"/>
        <v>0</v>
      </c>
      <c r="M49" s="14"/>
      <c r="N49" s="15">
        <f t="shared" si="131"/>
        <v>0</v>
      </c>
      <c r="O49" s="16">
        <f t="shared" si="121"/>
        <v>10</v>
      </c>
      <c r="P49" s="16">
        <f t="shared" si="122"/>
        <v>10</v>
      </c>
      <c r="Q49" s="16">
        <f t="shared" si="123"/>
        <v>-10</v>
      </c>
      <c r="R49" s="14"/>
      <c r="S49" s="15">
        <f t="shared" si="132"/>
        <v>0</v>
      </c>
      <c r="T49" s="14"/>
      <c r="U49" s="15">
        <f t="shared" si="133"/>
        <v>0</v>
      </c>
      <c r="V49" s="16">
        <f t="shared" si="134"/>
        <v>0</v>
      </c>
      <c r="W49" s="17">
        <f t="shared" si="135"/>
        <v>20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17</v>
      </c>
      <c r="D50" s="21" t="str">
        <f>Spieltag!B37</f>
        <v>Marius Wolf</v>
      </c>
      <c r="E50" s="12" t="str">
        <f>Spieltag!C37</f>
        <v>Abwehr</v>
      </c>
      <c r="F50" s="13" t="s">
        <v>57</v>
      </c>
      <c r="G50" s="14"/>
      <c r="H50" s="15">
        <f t="shared" ref="H50" si="136">IF(G50="x",10,0)</f>
        <v>0</v>
      </c>
      <c r="I50" s="14"/>
      <c r="J50" s="15">
        <f t="shared" ref="J50" si="137">IF((I50="x"),-10,0)</f>
        <v>0</v>
      </c>
      <c r="K50" s="14"/>
      <c r="L50" s="15">
        <f t="shared" ref="L50" si="138">IF((K50="x"),-20,0)</f>
        <v>0</v>
      </c>
      <c r="M50" s="14"/>
      <c r="N50" s="15">
        <f t="shared" ref="N50" si="139">IF((M50="x"),-30,0)</f>
        <v>0</v>
      </c>
      <c r="O50" s="16">
        <f t="shared" si="121"/>
        <v>10</v>
      </c>
      <c r="P50" s="16">
        <f t="shared" si="122"/>
        <v>10</v>
      </c>
      <c r="Q50" s="16">
        <f t="shared" si="123"/>
        <v>-10</v>
      </c>
      <c r="R50" s="14"/>
      <c r="S50" s="15">
        <f t="shared" ref="S50" si="140">R50*15</f>
        <v>0</v>
      </c>
      <c r="T50" s="14"/>
      <c r="U50" s="15">
        <f t="shared" ref="U50" si="141">T50*-15</f>
        <v>0</v>
      </c>
      <c r="V50" s="16">
        <f t="shared" ref="V50" si="142">IF(AND(R50=2),10,IF(R50=3,30,IF(R50=4,50,IF(R50=5,70,0))))</f>
        <v>0</v>
      </c>
      <c r="W50" s="17">
        <f t="shared" ref="W50" si="143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24</v>
      </c>
      <c r="D51" s="21" t="str">
        <f>Spieltag!B38</f>
        <v>Thomas Meunier (A)</v>
      </c>
      <c r="E51" s="12" t="str">
        <f>Spieltag!C38</f>
        <v>Abwehr</v>
      </c>
      <c r="F51" s="13" t="s">
        <v>57</v>
      </c>
      <c r="G51" s="14"/>
      <c r="H51" s="15">
        <f t="shared" si="128"/>
        <v>0</v>
      </c>
      <c r="I51" s="14"/>
      <c r="J51" s="15">
        <f t="shared" si="129"/>
        <v>0</v>
      </c>
      <c r="K51" s="14"/>
      <c r="L51" s="15">
        <f t="shared" si="130"/>
        <v>0</v>
      </c>
      <c r="M51" s="14"/>
      <c r="N51" s="15">
        <f t="shared" si="131"/>
        <v>0</v>
      </c>
      <c r="O51" s="16">
        <f t="shared" si="121"/>
        <v>10</v>
      </c>
      <c r="P51" s="16">
        <f t="shared" si="122"/>
        <v>10</v>
      </c>
      <c r="Q51" s="16">
        <f t="shared" si="123"/>
        <v>-10</v>
      </c>
      <c r="R51" s="14"/>
      <c r="S51" s="15">
        <f t="shared" si="132"/>
        <v>0</v>
      </c>
      <c r="T51" s="14"/>
      <c r="U51" s="15">
        <f t="shared" si="133"/>
        <v>0</v>
      </c>
      <c r="V51" s="16">
        <f t="shared" si="134"/>
        <v>0</v>
      </c>
      <c r="W51" s="17">
        <f t="shared" si="135"/>
        <v>0</v>
      </c>
    </row>
    <row r="52" spans="1:23" ht="10.5" customHeight="1" x14ac:dyDescent="0.2">
      <c r="A52" s="11"/>
      <c r="B52" s="149">
        <f>COUNTA(Spieltag!K39:AA39)</f>
        <v>1</v>
      </c>
      <c r="C52" s="166">
        <f>Spieltag!A39</f>
        <v>25</v>
      </c>
      <c r="D52" s="21" t="str">
        <f>Spieltag!B39</f>
        <v>Niklas Süle</v>
      </c>
      <c r="E52" s="12" t="str">
        <f>Spieltag!C39</f>
        <v>Abwehr</v>
      </c>
      <c r="F52" s="13" t="s">
        <v>57</v>
      </c>
      <c r="G52" s="14" t="s">
        <v>59</v>
      </c>
      <c r="H52" s="15">
        <f t="shared" si="128"/>
        <v>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10</v>
      </c>
      <c r="P52" s="16">
        <f t="shared" si="122"/>
        <v>10</v>
      </c>
      <c r="Q52" s="16">
        <f t="shared" si="123"/>
        <v>-10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26</v>
      </c>
      <c r="D53" s="21" t="str">
        <f>Spieltag!B40</f>
        <v>Julian Ryerson (A)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10</v>
      </c>
      <c r="P53" s="16">
        <f t="shared" si="122"/>
        <v>10</v>
      </c>
      <c r="Q53" s="16">
        <f t="shared" si="123"/>
        <v>-10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44</v>
      </c>
      <c r="D54" s="21" t="str">
        <f>Spieltag!B41</f>
        <v>Soumalia Coulibaly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10</v>
      </c>
      <c r="P54" s="16">
        <f t="shared" si="122"/>
        <v>10</v>
      </c>
      <c r="Q54" s="16">
        <f t="shared" si="123"/>
        <v>-10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47</v>
      </c>
      <c r="D55" s="21" t="str">
        <f>Spieltag!B42</f>
        <v>Antonis Papadopoulos</v>
      </c>
      <c r="E55" s="12" t="str">
        <f>Spieltag!C42</f>
        <v>Abwehr</v>
      </c>
      <c r="F55" s="13" t="s">
        <v>57</v>
      </c>
      <c r="G55" s="14"/>
      <c r="H55" s="15">
        <f t="shared" ref="H55" si="144">IF(G55="x",10,0)</f>
        <v>0</v>
      </c>
      <c r="I55" s="14"/>
      <c r="J55" s="15">
        <f t="shared" ref="J55" si="145">IF((I55="x"),-10,0)</f>
        <v>0</v>
      </c>
      <c r="K55" s="14"/>
      <c r="L55" s="15">
        <f t="shared" ref="L55" si="146">IF((K55="x"),-20,0)</f>
        <v>0</v>
      </c>
      <c r="M55" s="14"/>
      <c r="N55" s="15">
        <f t="shared" ref="N55" si="147">IF((M55="x"),-30,0)</f>
        <v>0</v>
      </c>
      <c r="O55" s="16">
        <f t="shared" si="121"/>
        <v>10</v>
      </c>
      <c r="P55" s="16">
        <f t="shared" si="122"/>
        <v>10</v>
      </c>
      <c r="Q55" s="16">
        <f t="shared" si="123"/>
        <v>-10</v>
      </c>
      <c r="R55" s="14"/>
      <c r="S55" s="15">
        <f t="shared" ref="S55" si="148">R55*15</f>
        <v>0</v>
      </c>
      <c r="T55" s="14"/>
      <c r="U55" s="15">
        <f t="shared" ref="U55" si="149">T55*-15</f>
        <v>0</v>
      </c>
      <c r="V55" s="16">
        <f t="shared" ref="V55" si="150">IF(AND(R55=2),10,IF(R55=3,30,IF(R55=4,50,IF(R55=5,70,0))))</f>
        <v>0</v>
      </c>
      <c r="W55" s="17">
        <f t="shared" ref="W55" si="151">IF(G55="x",H55+J55+L55+N55+O55+P55+Q55+S55+U55+V55,0)</f>
        <v>0</v>
      </c>
    </row>
    <row r="56" spans="1:23" ht="10.5" hidden="1" customHeight="1" x14ac:dyDescent="0.2">
      <c r="A56" s="11" t="s">
        <v>81</v>
      </c>
      <c r="B56" s="149">
        <f>COUNTA(Spieltag!K43:AA43)</f>
        <v>0</v>
      </c>
      <c r="C56" s="166">
        <f>Spieltag!A43</f>
        <v>6</v>
      </c>
      <c r="D56" s="21" t="str">
        <f>Spieltag!B43</f>
        <v>Salih Özcan</v>
      </c>
      <c r="E56" s="12" t="str">
        <f>Spieltag!C43</f>
        <v>Mittelfeld</v>
      </c>
      <c r="F56" s="13" t="s">
        <v>57</v>
      </c>
      <c r="G56" s="14"/>
      <c r="H56" s="15">
        <f t="shared" ref="H56:H65" si="152">IF(G56="x",10,0)</f>
        <v>0</v>
      </c>
      <c r="I56" s="14"/>
      <c r="J56" s="15">
        <f t="shared" ref="J56:J65" si="153">IF((I56="x"),-10,0)</f>
        <v>0</v>
      </c>
      <c r="K56" s="14"/>
      <c r="L56" s="15">
        <f t="shared" ref="L56:L65" si="154">IF((K56="x"),-20,0)</f>
        <v>0</v>
      </c>
      <c r="M56" s="14"/>
      <c r="N56" s="15">
        <f t="shared" ref="N56:N65" si="155">IF((M56="x"),-30,0)</f>
        <v>0</v>
      </c>
      <c r="O56" s="16">
        <f t="shared" ref="O56:O72" si="156">IF(AND($P$5&gt;$Q$5),20,IF($P$5=$Q$5,10,0))</f>
        <v>10</v>
      </c>
      <c r="P56" s="16">
        <f t="shared" ref="P56:P72" si="157">IF(($P$5&lt;&gt;0),$P$5*10,-5)</f>
        <v>10</v>
      </c>
      <c r="Q56" s="16">
        <f t="shared" ref="Q56:Q65" si="158">IF(($Q$5&lt;&gt;0),$Q$5*-10,10)</f>
        <v>-10</v>
      </c>
      <c r="R56" s="14"/>
      <c r="S56" s="15">
        <f t="shared" ref="S56:S65" si="159">R56*10</f>
        <v>0</v>
      </c>
      <c r="T56" s="14"/>
      <c r="U56" s="15">
        <f t="shared" ref="U56:U65" si="160">T56*-15</f>
        <v>0</v>
      </c>
      <c r="V56" s="16">
        <f t="shared" ref="V56:V65" si="161">IF(AND(R56=2),10,IF(R56=3,30,IF(R56=4,50,IF(R56=5,70,0))))</f>
        <v>0</v>
      </c>
      <c r="W56" s="17">
        <f t="shared" ref="W56:W65" si="162">IF(G56="x",H56+J56+L56+N56+O56+P56+Q56+S56+U56+V56,0)</f>
        <v>0</v>
      </c>
    </row>
    <row r="57" spans="1:23" ht="10.5" hidden="1" customHeight="1" x14ac:dyDescent="0.2">
      <c r="A57" s="11" t="s">
        <v>81</v>
      </c>
      <c r="B57" s="149">
        <f>COUNTA(Spieltag!K44:AA44)</f>
        <v>0</v>
      </c>
      <c r="C57" s="166">
        <f>Spieltag!A44</f>
        <v>7</v>
      </c>
      <c r="D57" s="21" t="str">
        <f>Spieltag!B44</f>
        <v>Giovanni Reyna (A)</v>
      </c>
      <c r="E57" s="12" t="str">
        <f>Spieltag!C44</f>
        <v>Mittelfeld</v>
      </c>
      <c r="F57" s="13" t="s">
        <v>57</v>
      </c>
      <c r="G57" s="14"/>
      <c r="H57" s="15">
        <f t="shared" si="152"/>
        <v>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56"/>
        <v>10</v>
      </c>
      <c r="P57" s="16">
        <f t="shared" si="157"/>
        <v>10</v>
      </c>
      <c r="Q57" s="16">
        <f t="shared" si="158"/>
        <v>-10</v>
      </c>
      <c r="R57" s="14"/>
      <c r="S57" s="15">
        <f t="shared" si="159"/>
        <v>0</v>
      </c>
      <c r="T57" s="14"/>
      <c r="U57" s="15">
        <f t="shared" si="160"/>
        <v>0</v>
      </c>
      <c r="V57" s="16">
        <f t="shared" si="161"/>
        <v>0</v>
      </c>
      <c r="W57" s="17">
        <f t="shared" si="162"/>
        <v>0</v>
      </c>
    </row>
    <row r="58" spans="1:23" ht="10.5" hidden="1" customHeight="1" x14ac:dyDescent="0.2">
      <c r="A58" s="11" t="s">
        <v>81</v>
      </c>
      <c r="B58" s="149">
        <f>COUNTA(Spieltag!K45:AA45)</f>
        <v>0</v>
      </c>
      <c r="C58" s="166">
        <f>Spieltag!A45</f>
        <v>8</v>
      </c>
      <c r="D58" s="21" t="str">
        <f>Spieltag!B45</f>
        <v>Felix Nmecha</v>
      </c>
      <c r="E58" s="12" t="str">
        <f>Spieltag!C45</f>
        <v>Mittelfeld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56"/>
        <v>10</v>
      </c>
      <c r="P58" s="16">
        <f t="shared" si="157"/>
        <v>10</v>
      </c>
      <c r="Q58" s="16">
        <f t="shared" si="158"/>
        <v>-10</v>
      </c>
      <c r="R58" s="14"/>
      <c r="S58" s="15">
        <f t="shared" si="159"/>
        <v>0</v>
      </c>
      <c r="T58" s="14"/>
      <c r="U58" s="15">
        <f t="shared" si="160"/>
        <v>0</v>
      </c>
      <c r="V58" s="16">
        <f t="shared" si="161"/>
        <v>0</v>
      </c>
      <c r="W58" s="17">
        <f t="shared" si="162"/>
        <v>0</v>
      </c>
    </row>
    <row r="59" spans="1:23" ht="10.5" customHeight="1" x14ac:dyDescent="0.2">
      <c r="A59" s="11" t="s">
        <v>81</v>
      </c>
      <c r="B59" s="149">
        <f>COUNTA(Spieltag!K46:AA46)</f>
        <v>1</v>
      </c>
      <c r="C59" s="166">
        <f>Spieltag!A46</f>
        <v>11</v>
      </c>
      <c r="D59" s="21" t="str">
        <f>Spieltag!B46</f>
        <v>Marco Reus</v>
      </c>
      <c r="E59" s="12" t="str">
        <f>Spieltag!C46</f>
        <v>Mittelfeld</v>
      </c>
      <c r="F59" s="13" t="s">
        <v>57</v>
      </c>
      <c r="G59" s="14" t="s">
        <v>661</v>
      </c>
      <c r="H59" s="15">
        <f t="shared" si="152"/>
        <v>10</v>
      </c>
      <c r="I59" s="14"/>
      <c r="J59" s="15">
        <f t="shared" si="153"/>
        <v>0</v>
      </c>
      <c r="K59" s="14"/>
      <c r="L59" s="15">
        <f t="shared" si="154"/>
        <v>0</v>
      </c>
      <c r="M59" s="14"/>
      <c r="N59" s="15">
        <f t="shared" si="155"/>
        <v>0</v>
      </c>
      <c r="O59" s="16">
        <f t="shared" si="156"/>
        <v>10</v>
      </c>
      <c r="P59" s="16">
        <f t="shared" si="157"/>
        <v>10</v>
      </c>
      <c r="Q59" s="16">
        <f t="shared" si="158"/>
        <v>-10</v>
      </c>
      <c r="R59" s="14"/>
      <c r="S59" s="15">
        <f t="shared" si="159"/>
        <v>0</v>
      </c>
      <c r="T59" s="14"/>
      <c r="U59" s="15">
        <f t="shared" si="160"/>
        <v>0</v>
      </c>
      <c r="V59" s="16">
        <f t="shared" si="161"/>
        <v>0</v>
      </c>
      <c r="W59" s="17">
        <f t="shared" si="162"/>
        <v>20</v>
      </c>
    </row>
    <row r="60" spans="1:23" ht="10.5" customHeight="1" x14ac:dyDescent="0.2">
      <c r="A60" s="11" t="s">
        <v>81</v>
      </c>
      <c r="B60" s="149">
        <f>COUNTA(Spieltag!K47:AA47)</f>
        <v>3</v>
      </c>
      <c r="C60" s="166">
        <f>Spieltag!A47</f>
        <v>19</v>
      </c>
      <c r="D60" s="21" t="str">
        <f>Spieltag!B47</f>
        <v>Julian Brandt</v>
      </c>
      <c r="E60" s="12" t="str">
        <f>Spieltag!C47</f>
        <v>Mittelfeld</v>
      </c>
      <c r="F60" s="13" t="s">
        <v>57</v>
      </c>
      <c r="G60" s="14" t="s">
        <v>661</v>
      </c>
      <c r="H60" s="15">
        <f t="shared" si="152"/>
        <v>10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56"/>
        <v>10</v>
      </c>
      <c r="P60" s="16">
        <f t="shared" si="157"/>
        <v>10</v>
      </c>
      <c r="Q60" s="16">
        <f t="shared" si="158"/>
        <v>-10</v>
      </c>
      <c r="R60" s="14"/>
      <c r="S60" s="15">
        <f t="shared" si="159"/>
        <v>0</v>
      </c>
      <c r="T60" s="14"/>
      <c r="U60" s="15">
        <f t="shared" si="160"/>
        <v>0</v>
      </c>
      <c r="V60" s="16">
        <f t="shared" si="161"/>
        <v>0</v>
      </c>
      <c r="W60" s="17">
        <f t="shared" si="162"/>
        <v>20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20</v>
      </c>
      <c r="D61" s="21" t="str">
        <f>Spieltag!B48</f>
        <v>Marcel Sabitzer (A)</v>
      </c>
      <c r="E61" s="12" t="str">
        <f>Spieltag!C48</f>
        <v>Mittelfeld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56"/>
        <v>10</v>
      </c>
      <c r="P61" s="16">
        <f t="shared" si="157"/>
        <v>10</v>
      </c>
      <c r="Q61" s="16">
        <f t="shared" si="158"/>
        <v>-10</v>
      </c>
      <c r="R61" s="14"/>
      <c r="S61" s="15">
        <f t="shared" si="159"/>
        <v>0</v>
      </c>
      <c r="T61" s="14"/>
      <c r="U61" s="15">
        <f t="shared" si="160"/>
        <v>0</v>
      </c>
      <c r="V61" s="16">
        <f t="shared" si="161"/>
        <v>0</v>
      </c>
      <c r="W61" s="17">
        <f t="shared" si="162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23</v>
      </c>
      <c r="D62" s="21" t="str">
        <f>Spieltag!B49</f>
        <v>Emre Can</v>
      </c>
      <c r="E62" s="12" t="str">
        <f>Spieltag!C49</f>
        <v>Mittelfeld</v>
      </c>
      <c r="F62" s="13" t="s">
        <v>57</v>
      </c>
      <c r="G62" s="14"/>
      <c r="H62" s="15">
        <f t="shared" si="152"/>
        <v>0</v>
      </c>
      <c r="I62" s="14"/>
      <c r="J62" s="15">
        <f t="shared" si="153"/>
        <v>0</v>
      </c>
      <c r="K62" s="14"/>
      <c r="L62" s="15">
        <f t="shared" si="154"/>
        <v>0</v>
      </c>
      <c r="M62" s="14"/>
      <c r="N62" s="15">
        <f t="shared" si="155"/>
        <v>0</v>
      </c>
      <c r="O62" s="16">
        <f t="shared" si="156"/>
        <v>10</v>
      </c>
      <c r="P62" s="16">
        <f t="shared" si="157"/>
        <v>10</v>
      </c>
      <c r="Q62" s="16">
        <f t="shared" si="158"/>
        <v>-10</v>
      </c>
      <c r="R62" s="14"/>
      <c r="S62" s="15">
        <f t="shared" si="159"/>
        <v>0</v>
      </c>
      <c r="T62" s="14"/>
      <c r="U62" s="15">
        <f t="shared" si="160"/>
        <v>0</v>
      </c>
      <c r="V62" s="16">
        <f t="shared" si="161"/>
        <v>0</v>
      </c>
      <c r="W62" s="17">
        <f t="shared" si="162"/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30</v>
      </c>
      <c r="D63" s="21" t="str">
        <f>Spieltag!B50</f>
        <v>Ole Pohlmann</v>
      </c>
      <c r="E63" s="12" t="str">
        <f>Spieltag!C50</f>
        <v>Mittelfeld</v>
      </c>
      <c r="F63" s="13" t="s">
        <v>57</v>
      </c>
      <c r="G63" s="14"/>
      <c r="H63" s="15">
        <f t="shared" si="152"/>
        <v>0</v>
      </c>
      <c r="I63" s="14"/>
      <c r="J63" s="15">
        <f t="shared" si="153"/>
        <v>0</v>
      </c>
      <c r="K63" s="14"/>
      <c r="L63" s="15">
        <f t="shared" si="154"/>
        <v>0</v>
      </c>
      <c r="M63" s="14"/>
      <c r="N63" s="15">
        <f t="shared" si="155"/>
        <v>0</v>
      </c>
      <c r="O63" s="16">
        <f t="shared" si="156"/>
        <v>10</v>
      </c>
      <c r="P63" s="16">
        <f t="shared" si="157"/>
        <v>10</v>
      </c>
      <c r="Q63" s="16">
        <f t="shared" si="158"/>
        <v>-10</v>
      </c>
      <c r="R63" s="14"/>
      <c r="S63" s="15">
        <f t="shared" si="159"/>
        <v>0</v>
      </c>
      <c r="T63" s="14"/>
      <c r="U63" s="15">
        <f t="shared" si="160"/>
        <v>0</v>
      </c>
      <c r="V63" s="16">
        <f t="shared" si="161"/>
        <v>0</v>
      </c>
      <c r="W63" s="17">
        <f t="shared" si="162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32</v>
      </c>
      <c r="D64" s="21" t="str">
        <f>Spieltag!B51</f>
        <v>Abdoulaye Kamara (A)</v>
      </c>
      <c r="E64" s="12" t="str">
        <f>Spieltag!C51</f>
        <v>Mittelfeld</v>
      </c>
      <c r="F64" s="13" t="s">
        <v>57</v>
      </c>
      <c r="G64" s="14"/>
      <c r="H64" s="15">
        <f t="shared" ref="H64" si="163">IF(G64="x",10,0)</f>
        <v>0</v>
      </c>
      <c r="I64" s="14"/>
      <c r="J64" s="15">
        <f t="shared" ref="J64" si="164">IF((I64="x"),-10,0)</f>
        <v>0</v>
      </c>
      <c r="K64" s="14"/>
      <c r="L64" s="15">
        <f t="shared" ref="L64" si="165">IF((K64="x"),-20,0)</f>
        <v>0</v>
      </c>
      <c r="M64" s="14"/>
      <c r="N64" s="15">
        <f t="shared" ref="N64" si="166">IF((M64="x"),-30,0)</f>
        <v>0</v>
      </c>
      <c r="O64" s="16">
        <f t="shared" si="156"/>
        <v>10</v>
      </c>
      <c r="P64" s="16">
        <f t="shared" si="157"/>
        <v>10</v>
      </c>
      <c r="Q64" s="16">
        <f t="shared" si="158"/>
        <v>-10</v>
      </c>
      <c r="R64" s="14"/>
      <c r="S64" s="15">
        <f t="shared" ref="S64" si="167">R64*10</f>
        <v>0</v>
      </c>
      <c r="T64" s="14"/>
      <c r="U64" s="15">
        <f t="shared" ref="U64" si="168">T64*-15</f>
        <v>0</v>
      </c>
      <c r="V64" s="16">
        <f t="shared" ref="V64" si="169">IF(AND(R64=2),10,IF(R64=3,30,IF(R64=4,50,IF(R64=5,70,0))))</f>
        <v>0</v>
      </c>
      <c r="W64" s="17">
        <f t="shared" ref="W64" si="170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48</v>
      </c>
      <c r="D65" s="21" t="str">
        <f>Spieltag!B52</f>
        <v>Samuel Bamba</v>
      </c>
      <c r="E65" s="12" t="str">
        <f>Spieltag!C52</f>
        <v>Mittelfeld</v>
      </c>
      <c r="F65" s="13" t="s">
        <v>57</v>
      </c>
      <c r="G65" s="14"/>
      <c r="H65" s="15">
        <f t="shared" si="152"/>
        <v>0</v>
      </c>
      <c r="I65" s="14"/>
      <c r="J65" s="15">
        <f t="shared" si="153"/>
        <v>0</v>
      </c>
      <c r="K65" s="14"/>
      <c r="L65" s="15">
        <f t="shared" si="154"/>
        <v>0</v>
      </c>
      <c r="M65" s="14"/>
      <c r="N65" s="15">
        <f t="shared" si="155"/>
        <v>0</v>
      </c>
      <c r="O65" s="16">
        <f t="shared" si="156"/>
        <v>10</v>
      </c>
      <c r="P65" s="16">
        <f t="shared" si="157"/>
        <v>10</v>
      </c>
      <c r="Q65" s="16">
        <f t="shared" si="158"/>
        <v>-10</v>
      </c>
      <c r="R65" s="14"/>
      <c r="S65" s="15">
        <f t="shared" si="159"/>
        <v>0</v>
      </c>
      <c r="T65" s="14"/>
      <c r="U65" s="15">
        <f t="shared" si="160"/>
        <v>0</v>
      </c>
      <c r="V65" s="16">
        <f t="shared" si="161"/>
        <v>0</v>
      </c>
      <c r="W65" s="17">
        <f t="shared" si="162"/>
        <v>0</v>
      </c>
    </row>
    <row r="66" spans="1:23" ht="10.5" hidden="1" customHeight="1" x14ac:dyDescent="0.2">
      <c r="A66" s="11"/>
      <c r="B66" s="149">
        <f>COUNTA(Spieltag!K53:AA53)</f>
        <v>0</v>
      </c>
      <c r="C66" s="166">
        <f>Spieltag!A53</f>
        <v>9</v>
      </c>
      <c r="D66" s="21" t="str">
        <f>Spieltag!B53</f>
        <v>Sebastien Haller (A)</v>
      </c>
      <c r="E66" s="12" t="str">
        <f>Spieltag!C53</f>
        <v>Sturm</v>
      </c>
      <c r="F66" s="13" t="s">
        <v>57</v>
      </c>
      <c r="G66" s="14"/>
      <c r="H66" s="15">
        <f t="shared" ref="H66:H68" si="171">IF(G66="x",10,0)</f>
        <v>0</v>
      </c>
      <c r="I66" s="14"/>
      <c r="J66" s="15">
        <f t="shared" ref="J66:J68" si="172">IF((I66="x"),-10,0)</f>
        <v>0</v>
      </c>
      <c r="K66" s="14"/>
      <c r="L66" s="15">
        <f t="shared" ref="L66:L68" si="173">IF((K66="x"),-20,0)</f>
        <v>0</v>
      </c>
      <c r="M66" s="14"/>
      <c r="N66" s="15">
        <f t="shared" ref="N66:N68" si="174">IF((M66="x"),-30,0)</f>
        <v>0</v>
      </c>
      <c r="O66" s="16">
        <f t="shared" si="156"/>
        <v>10</v>
      </c>
      <c r="P66" s="16">
        <f t="shared" si="157"/>
        <v>10</v>
      </c>
      <c r="Q66" s="16">
        <f t="shared" ref="Q66:Q72" si="175">IF(($Q$5&lt;&gt;0),$Q$5*-10,5)</f>
        <v>-10</v>
      </c>
      <c r="R66" s="14"/>
      <c r="S66" s="15">
        <f t="shared" ref="S66:S68" si="176">R66*10</f>
        <v>0</v>
      </c>
      <c r="T66" s="14"/>
      <c r="U66" s="15">
        <f t="shared" ref="U66:U68" si="177">T66*-15</f>
        <v>0</v>
      </c>
      <c r="V66" s="16">
        <f t="shared" ref="V66:V68" si="178">IF(AND(R66=2),10,IF(R66=3,30,IF(R66=4,50,IF(R66=5,70,0))))</f>
        <v>0</v>
      </c>
      <c r="W66" s="17">
        <f t="shared" ref="W66:W68" si="179">IF(G66="x",H66+J66+L66+N66+O66+P66+Q66+S66+U66+V66,0)</f>
        <v>0</v>
      </c>
    </row>
    <row r="67" spans="1:23" ht="10.5" customHeight="1" x14ac:dyDescent="0.2">
      <c r="A67" s="11"/>
      <c r="B67" s="149">
        <f>COUNTA(Spieltag!K54:AA54)</f>
        <v>4</v>
      </c>
      <c r="C67" s="166">
        <f>Spieltag!A54</f>
        <v>14</v>
      </c>
      <c r="D67" s="21" t="str">
        <f>Spieltag!B54</f>
        <v>Niclas Füllkrug</v>
      </c>
      <c r="E67" s="12" t="str">
        <f>Spieltag!C54</f>
        <v>Sturm</v>
      </c>
      <c r="F67" s="13" t="s">
        <v>57</v>
      </c>
      <c r="G67" s="14" t="s">
        <v>661</v>
      </c>
      <c r="H67" s="15">
        <f t="shared" ref="H67" si="180">IF(G67="x",10,0)</f>
        <v>10</v>
      </c>
      <c r="I67" s="14"/>
      <c r="J67" s="15">
        <f t="shared" ref="J67" si="181">IF((I67="x"),-10,0)</f>
        <v>0</v>
      </c>
      <c r="K67" s="14"/>
      <c r="L67" s="15">
        <f t="shared" ref="L67" si="182">IF((K67="x"),-20,0)</f>
        <v>0</v>
      </c>
      <c r="M67" s="14"/>
      <c r="N67" s="15">
        <f t="shared" ref="N67" si="183">IF((M67="x"),-30,0)</f>
        <v>0</v>
      </c>
      <c r="O67" s="16">
        <f t="shared" si="156"/>
        <v>10</v>
      </c>
      <c r="P67" s="16">
        <f t="shared" si="157"/>
        <v>10</v>
      </c>
      <c r="Q67" s="16">
        <f t="shared" si="175"/>
        <v>-10</v>
      </c>
      <c r="R67" s="14"/>
      <c r="S67" s="15">
        <f t="shared" ref="S67" si="184">R67*10</f>
        <v>0</v>
      </c>
      <c r="T67" s="14"/>
      <c r="U67" s="15">
        <f t="shared" ref="U67" si="185">T67*-15</f>
        <v>0</v>
      </c>
      <c r="V67" s="16">
        <f t="shared" ref="V67" si="186">IF(AND(R67=2),10,IF(R67=3,30,IF(R67=4,50,IF(R67=5,70,0))))</f>
        <v>0</v>
      </c>
      <c r="W67" s="17">
        <f t="shared" ref="W67" si="187">IF(G67="x",H67+J67+L67+N67+O67+P67+Q67+S67+U67+V67,0)</f>
        <v>20</v>
      </c>
    </row>
    <row r="68" spans="1:23" ht="10.5" hidden="1" customHeight="1" x14ac:dyDescent="0.2">
      <c r="A68" s="11"/>
      <c r="B68" s="149">
        <f>COUNTA(Spieltag!K55:AA55)</f>
        <v>0</v>
      </c>
      <c r="C68" s="166">
        <f>Spieltag!A55</f>
        <v>16</v>
      </c>
      <c r="D68" s="21" t="str">
        <f>Spieltag!B55</f>
        <v>Julien Duranville (A)</v>
      </c>
      <c r="E68" s="12" t="str">
        <f>Spieltag!C55</f>
        <v>Sturm</v>
      </c>
      <c r="F68" s="13" t="s">
        <v>57</v>
      </c>
      <c r="G68" s="14"/>
      <c r="H68" s="15">
        <f t="shared" si="171"/>
        <v>0</v>
      </c>
      <c r="I68" s="14"/>
      <c r="J68" s="15">
        <f t="shared" si="172"/>
        <v>0</v>
      </c>
      <c r="K68" s="14"/>
      <c r="L68" s="15">
        <f t="shared" si="173"/>
        <v>0</v>
      </c>
      <c r="M68" s="14"/>
      <c r="N68" s="15">
        <f t="shared" si="174"/>
        <v>0</v>
      </c>
      <c r="O68" s="16">
        <f t="shared" si="156"/>
        <v>10</v>
      </c>
      <c r="P68" s="16">
        <f t="shared" si="157"/>
        <v>10</v>
      </c>
      <c r="Q68" s="16">
        <f t="shared" si="175"/>
        <v>-10</v>
      </c>
      <c r="R68" s="14"/>
      <c r="S68" s="15">
        <f t="shared" si="176"/>
        <v>0</v>
      </c>
      <c r="T68" s="14"/>
      <c r="U68" s="15">
        <f t="shared" si="177"/>
        <v>0</v>
      </c>
      <c r="V68" s="16">
        <f t="shared" si="178"/>
        <v>0</v>
      </c>
      <c r="W68" s="17">
        <f t="shared" si="179"/>
        <v>0</v>
      </c>
    </row>
    <row r="69" spans="1:23" ht="10.5" hidden="1" customHeight="1" x14ac:dyDescent="0.2">
      <c r="A69" s="11"/>
      <c r="B69" s="149">
        <f>COUNTA(Spieltag!K56:AA56)</f>
        <v>0</v>
      </c>
      <c r="C69" s="166">
        <f>Spieltag!A56</f>
        <v>18</v>
      </c>
      <c r="D69" s="21" t="str">
        <f>Spieltag!B56</f>
        <v xml:space="preserve">Youssoufa Moukoko </v>
      </c>
      <c r="E69" s="12" t="str">
        <f>Spieltag!C56</f>
        <v>Sturm</v>
      </c>
      <c r="F69" s="13" t="s">
        <v>57</v>
      </c>
      <c r="G69" s="14"/>
      <c r="H69" s="15">
        <f t="shared" ref="H69:H72" si="188">IF(G69="x",10,0)</f>
        <v>0</v>
      </c>
      <c r="I69" s="14"/>
      <c r="J69" s="15">
        <f t="shared" ref="J69:J72" si="189">IF((I69="x"),-10,0)</f>
        <v>0</v>
      </c>
      <c r="K69" s="14"/>
      <c r="L69" s="15">
        <f t="shared" ref="L69:L72" si="190">IF((K69="x"),-20,0)</f>
        <v>0</v>
      </c>
      <c r="M69" s="14"/>
      <c r="N69" s="15">
        <f t="shared" ref="N69:N72" si="191">IF((M69="x"),-30,0)</f>
        <v>0</v>
      </c>
      <c r="O69" s="16">
        <f t="shared" si="156"/>
        <v>10</v>
      </c>
      <c r="P69" s="16">
        <f t="shared" si="157"/>
        <v>10</v>
      </c>
      <c r="Q69" s="16">
        <f t="shared" si="175"/>
        <v>-10</v>
      </c>
      <c r="R69" s="14"/>
      <c r="S69" s="15">
        <f t="shared" ref="S69:S72" si="192">R69*10</f>
        <v>0</v>
      </c>
      <c r="T69" s="14"/>
      <c r="U69" s="15">
        <f t="shared" ref="U69:U72" si="193">T69*-15</f>
        <v>0</v>
      </c>
      <c r="V69" s="16">
        <f t="shared" ref="V69:V72" si="194">IF(AND(R69=2),10,IF(R69=3,30,IF(R69=4,50,IF(R69=5,70,0))))</f>
        <v>0</v>
      </c>
      <c r="W69" s="17">
        <f t="shared" ref="W69:W72" si="195">IF(G69="x",H69+J69+L69+N69+O69+P69+Q69+S69+U69+V69,0)</f>
        <v>0</v>
      </c>
    </row>
    <row r="70" spans="1:23" ht="10.5" customHeight="1" x14ac:dyDescent="0.2">
      <c r="A70" s="11"/>
      <c r="B70" s="149">
        <f>COUNTA(Spieltag!K57:AA57)</f>
        <v>1</v>
      </c>
      <c r="C70" s="166">
        <f>Spieltag!A57</f>
        <v>21</v>
      </c>
      <c r="D70" s="21" t="str">
        <f>Spieltag!B57</f>
        <v>Donyell Malen (A)</v>
      </c>
      <c r="E70" s="12" t="str">
        <f>Spieltag!C57</f>
        <v>Sturm</v>
      </c>
      <c r="F70" s="13" t="s">
        <v>57</v>
      </c>
      <c r="G70" s="14" t="s">
        <v>59</v>
      </c>
      <c r="H70" s="15">
        <f t="shared" ref="H70" si="196">IF(G70="x",10,0)</f>
        <v>0</v>
      </c>
      <c r="I70" s="14"/>
      <c r="J70" s="15">
        <f t="shared" ref="J70" si="197">IF((I70="x"),-10,0)</f>
        <v>0</v>
      </c>
      <c r="K70" s="14"/>
      <c r="L70" s="15">
        <f t="shared" ref="L70" si="198">IF((K70="x"),-20,0)</f>
        <v>0</v>
      </c>
      <c r="M70" s="14"/>
      <c r="N70" s="15">
        <f t="shared" ref="N70" si="199">IF((M70="x"),-30,0)</f>
        <v>0</v>
      </c>
      <c r="O70" s="16">
        <f t="shared" si="156"/>
        <v>10</v>
      </c>
      <c r="P70" s="16">
        <f t="shared" si="157"/>
        <v>10</v>
      </c>
      <c r="Q70" s="16">
        <f t="shared" si="175"/>
        <v>-10</v>
      </c>
      <c r="R70" s="14"/>
      <c r="S70" s="15">
        <f t="shared" ref="S70" si="200">R70*10</f>
        <v>0</v>
      </c>
      <c r="T70" s="14"/>
      <c r="U70" s="15">
        <f t="shared" ref="U70" si="201">T70*-15</f>
        <v>0</v>
      </c>
      <c r="V70" s="16">
        <f t="shared" ref="V70" si="202">IF(AND(R70=2),10,IF(R70=3,30,IF(R70=4,50,IF(R70=5,70,0))))</f>
        <v>0</v>
      </c>
      <c r="W70" s="17">
        <f t="shared" ref="W70" si="203">IF(G70="x",H70+J70+L70+N70+O70+P70+Q70+S70+U70+V70,0)</f>
        <v>0</v>
      </c>
    </row>
    <row r="71" spans="1:23" ht="10.5" hidden="1" customHeight="1" x14ac:dyDescent="0.2">
      <c r="A71" s="11"/>
      <c r="B71" s="149">
        <f>COUNTA(Spieltag!K58:AA58)</f>
        <v>0</v>
      </c>
      <c r="C71" s="166">
        <f>Spieltag!A58</f>
        <v>27</v>
      </c>
      <c r="D71" s="21" t="str">
        <f>Spieltag!B58</f>
        <v>Karim Adeyemi</v>
      </c>
      <c r="E71" s="12" t="str">
        <f>Spieltag!C58</f>
        <v>Sturm</v>
      </c>
      <c r="F71" s="13" t="s">
        <v>57</v>
      </c>
      <c r="G71" s="14"/>
      <c r="H71" s="15">
        <f t="shared" si="188"/>
        <v>0</v>
      </c>
      <c r="I71" s="14"/>
      <c r="J71" s="15">
        <f t="shared" si="189"/>
        <v>0</v>
      </c>
      <c r="K71" s="14"/>
      <c r="L71" s="15">
        <f t="shared" si="190"/>
        <v>0</v>
      </c>
      <c r="M71" s="14"/>
      <c r="N71" s="15">
        <f t="shared" si="191"/>
        <v>0</v>
      </c>
      <c r="O71" s="16">
        <f t="shared" si="156"/>
        <v>10</v>
      </c>
      <c r="P71" s="16">
        <f t="shared" si="157"/>
        <v>10</v>
      </c>
      <c r="Q71" s="16">
        <f t="shared" si="175"/>
        <v>-10</v>
      </c>
      <c r="R71" s="14"/>
      <c r="S71" s="15">
        <f t="shared" si="192"/>
        <v>0</v>
      </c>
      <c r="T71" s="14"/>
      <c r="U71" s="15">
        <f t="shared" si="193"/>
        <v>0</v>
      </c>
      <c r="V71" s="16">
        <f t="shared" si="194"/>
        <v>0</v>
      </c>
      <c r="W71" s="17">
        <f t="shared" si="195"/>
        <v>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43</v>
      </c>
      <c r="D72" s="21" t="str">
        <f>Spieltag!B59</f>
        <v>Jamie Bynoe-Gittens (A)</v>
      </c>
      <c r="E72" s="12" t="str">
        <f>Spieltag!C59</f>
        <v>Sturm</v>
      </c>
      <c r="F72" s="13" t="s">
        <v>57</v>
      </c>
      <c r="G72" s="14"/>
      <c r="H72" s="15">
        <f t="shared" si="188"/>
        <v>0</v>
      </c>
      <c r="I72" s="14"/>
      <c r="J72" s="15">
        <f t="shared" si="189"/>
        <v>0</v>
      </c>
      <c r="K72" s="14"/>
      <c r="L72" s="15">
        <f t="shared" si="190"/>
        <v>0</v>
      </c>
      <c r="M72" s="14"/>
      <c r="N72" s="15">
        <f t="shared" si="191"/>
        <v>0</v>
      </c>
      <c r="O72" s="16">
        <f t="shared" si="156"/>
        <v>10</v>
      </c>
      <c r="P72" s="16">
        <f t="shared" si="157"/>
        <v>10</v>
      </c>
      <c r="Q72" s="16">
        <f t="shared" si="175"/>
        <v>-10</v>
      </c>
      <c r="R72" s="14"/>
      <c r="S72" s="15">
        <f t="shared" si="192"/>
        <v>0</v>
      </c>
      <c r="T72" s="14"/>
      <c r="U72" s="15">
        <f t="shared" si="193"/>
        <v>0</v>
      </c>
      <c r="V72" s="16">
        <f t="shared" si="194"/>
        <v>0</v>
      </c>
      <c r="W72" s="17">
        <f t="shared" si="195"/>
        <v>0</v>
      </c>
    </row>
    <row r="73" spans="1:23" s="144" customFormat="1" ht="17.25" thickBot="1" x14ac:dyDescent="0.25">
      <c r="A73" s="142"/>
      <c r="B73" s="143">
        <f>SUM(B74:B99)</f>
        <v>18</v>
      </c>
      <c r="C73" s="158"/>
      <c r="D73" s="234" t="s">
        <v>128</v>
      </c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5"/>
    </row>
    <row r="74" spans="1:23" ht="10.5" hidden="1" customHeight="1" x14ac:dyDescent="0.2">
      <c r="A74" s="11"/>
      <c r="B74" s="149">
        <f>COUNTA(Spieltag!K61:AA61)</f>
        <v>0</v>
      </c>
      <c r="C74" s="166">
        <f>Spieltag!A61</f>
        <v>1</v>
      </c>
      <c r="D74" s="21" t="str">
        <f>Spieltag!B61</f>
        <v>Péter Gulácsi (A)</v>
      </c>
      <c r="E74" s="12" t="str">
        <f>Spieltag!C61</f>
        <v>Torwart</v>
      </c>
      <c r="F74" s="13" t="s">
        <v>134</v>
      </c>
      <c r="G74" s="14"/>
      <c r="H74" s="15">
        <f>IF(G74="x",10,0)</f>
        <v>0</v>
      </c>
      <c r="I74" s="14"/>
      <c r="J74" s="15">
        <f>IF((I74="x"),-10,0)</f>
        <v>0</v>
      </c>
      <c r="K74" s="14"/>
      <c r="L74" s="15">
        <f>IF((K74="x"),-20,0)</f>
        <v>0</v>
      </c>
      <c r="M74" s="14"/>
      <c r="N74" s="15">
        <f>IF((M74="x"),-30,0)</f>
        <v>0</v>
      </c>
      <c r="O74" s="16">
        <f t="shared" ref="O74:O95" si="204">IF(AND($P$8&gt;$Q$8),20,IF($P$8=$Q$8,10,0))</f>
        <v>20</v>
      </c>
      <c r="P74" s="16">
        <f t="shared" ref="P74:P95" si="205">IF(($P$8&lt;&gt;0),$P$8*10,-5)</f>
        <v>20</v>
      </c>
      <c r="Q74" s="16">
        <f>IF(($Q$8&lt;&gt;0),$Q$8*-10,20)</f>
        <v>-10</v>
      </c>
      <c r="R74" s="14"/>
      <c r="S74" s="15">
        <f>R74*20</f>
        <v>0</v>
      </c>
      <c r="T74" s="14"/>
      <c r="U74" s="15">
        <f>T74*-15</f>
        <v>0</v>
      </c>
      <c r="V74" s="16">
        <f t="shared" ref="V74" si="206">IF(AND(R74=2),10,IF(R74=3,30,IF(R74=4,50,IF(R74=5,70,0))))</f>
        <v>0</v>
      </c>
      <c r="W74" s="17">
        <f t="shared" ref="W74" si="207">IF(G74="x",H74+J74+L74+N74+O74+P74+Q74+S74+U74+V74,0)</f>
        <v>0</v>
      </c>
    </row>
    <row r="75" spans="1:23" ht="10.5" customHeight="1" x14ac:dyDescent="0.2">
      <c r="A75" s="11"/>
      <c r="B75" s="149">
        <f>COUNTA(Spieltag!K62:AA62)</f>
        <v>1</v>
      </c>
      <c r="C75" s="166">
        <f>Spieltag!A62</f>
        <v>21</v>
      </c>
      <c r="D75" s="21" t="str">
        <f>Spieltag!B62</f>
        <v>Janis Blaswich</v>
      </c>
      <c r="E75" s="12" t="str">
        <f>Spieltag!C62</f>
        <v>Torwart</v>
      </c>
      <c r="F75" s="13" t="s">
        <v>134</v>
      </c>
      <c r="G75" s="14" t="s">
        <v>661</v>
      </c>
      <c r="H75" s="15">
        <f>IF(G75="x",10,0)</f>
        <v>10</v>
      </c>
      <c r="I75" s="14"/>
      <c r="J75" s="15">
        <f>IF((I75="x"),-10,0)</f>
        <v>0</v>
      </c>
      <c r="K75" s="14"/>
      <c r="L75" s="15">
        <f>IF((K75="x"),-20,0)</f>
        <v>0</v>
      </c>
      <c r="M75" s="14"/>
      <c r="N75" s="15">
        <f>IF((M75="x"),-30,0)</f>
        <v>0</v>
      </c>
      <c r="O75" s="16">
        <f t="shared" si="204"/>
        <v>20</v>
      </c>
      <c r="P75" s="16">
        <f t="shared" si="205"/>
        <v>20</v>
      </c>
      <c r="Q75" s="16">
        <f>IF(($Q$8&lt;&gt;0),$Q$8*-10,20)</f>
        <v>-10</v>
      </c>
      <c r="R75" s="14"/>
      <c r="S75" s="15">
        <f>R75*20</f>
        <v>0</v>
      </c>
      <c r="T75" s="14"/>
      <c r="U75" s="15">
        <f>T75*-15</f>
        <v>0</v>
      </c>
      <c r="V75" s="16">
        <f t="shared" ref="V75:V78" si="208">IF(AND(R75=2),10,IF(R75=3,30,IF(R75=4,50,IF(R75=5,70,0))))</f>
        <v>0</v>
      </c>
      <c r="W75" s="17">
        <f t="shared" ref="W75:W78" si="209">IF(G75="x",H75+J75+L75+N75+O75+P75+Q75+S75+U75+V75,0)</f>
        <v>40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25</v>
      </c>
      <c r="D76" s="21" t="str">
        <f>Spieltag!B63</f>
        <v>Leopold Zingerle</v>
      </c>
      <c r="E76" s="12" t="str">
        <f>Spieltag!C63</f>
        <v>Torwart</v>
      </c>
      <c r="F76" s="13" t="s">
        <v>134</v>
      </c>
      <c r="G76" s="14"/>
      <c r="H76" s="15">
        <f t="shared" ref="H76" si="210">IF(G76="x",10,0)</f>
        <v>0</v>
      </c>
      <c r="I76" s="14"/>
      <c r="J76" s="15">
        <f t="shared" ref="J76" si="211">IF((I76="x"),-10,0)</f>
        <v>0</v>
      </c>
      <c r="K76" s="14"/>
      <c r="L76" s="15">
        <f t="shared" ref="L76" si="212">IF((K76="x"),-20,0)</f>
        <v>0</v>
      </c>
      <c r="M76" s="14"/>
      <c r="N76" s="15">
        <f t="shared" ref="N76" si="213">IF((M76="x"),-30,0)</f>
        <v>0</v>
      </c>
      <c r="O76" s="16">
        <f t="shared" si="204"/>
        <v>20</v>
      </c>
      <c r="P76" s="16">
        <f t="shared" si="205"/>
        <v>20</v>
      </c>
      <c r="Q76" s="16">
        <f t="shared" ref="Q76:Q77" si="214">IF(($Q$8&lt;&gt;0),$Q$8*-10,20)</f>
        <v>-10</v>
      </c>
      <c r="R76" s="14"/>
      <c r="S76" s="15">
        <f t="shared" ref="S76" si="215">R76*20</f>
        <v>0</v>
      </c>
      <c r="T76" s="14"/>
      <c r="U76" s="15">
        <f t="shared" ref="U76" si="216">T76*-15</f>
        <v>0</v>
      </c>
      <c r="V76" s="16">
        <f t="shared" ref="V76" si="217">IF(AND(R76=2),10,IF(R76=3,30,IF(R76=4,50,IF(R76=5,70,0))))</f>
        <v>0</v>
      </c>
      <c r="W76" s="17">
        <f t="shared" ref="W76" si="218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36</v>
      </c>
      <c r="D77" s="21" t="str">
        <f>Spieltag!B64</f>
        <v>Timo Schlieck</v>
      </c>
      <c r="E77" s="12" t="str">
        <f>Spieltag!C64</f>
        <v>Torwart</v>
      </c>
      <c r="F77" s="13" t="s">
        <v>134</v>
      </c>
      <c r="G77" s="14"/>
      <c r="H77" s="15">
        <f t="shared" ref="H77:H78" si="219">IF(G77="x",10,0)</f>
        <v>0</v>
      </c>
      <c r="I77" s="14"/>
      <c r="J77" s="15">
        <f t="shared" ref="J77:J78" si="220">IF((I77="x"),-10,0)</f>
        <v>0</v>
      </c>
      <c r="K77" s="14"/>
      <c r="L77" s="15">
        <f t="shared" ref="L77:L78" si="221">IF((K77="x"),-20,0)</f>
        <v>0</v>
      </c>
      <c r="M77" s="14"/>
      <c r="N77" s="15">
        <f t="shared" ref="N77:N78" si="222">IF((M77="x"),-30,0)</f>
        <v>0</v>
      </c>
      <c r="O77" s="16">
        <f t="shared" si="204"/>
        <v>20</v>
      </c>
      <c r="P77" s="16">
        <f t="shared" si="205"/>
        <v>20</v>
      </c>
      <c r="Q77" s="16">
        <f t="shared" si="214"/>
        <v>-10</v>
      </c>
      <c r="R77" s="14"/>
      <c r="S77" s="15">
        <f t="shared" ref="S77" si="223">R77*20</f>
        <v>0</v>
      </c>
      <c r="T77" s="14"/>
      <c r="U77" s="15">
        <f t="shared" ref="U77:U78" si="224">T77*-15</f>
        <v>0</v>
      </c>
      <c r="V77" s="16">
        <f t="shared" si="208"/>
        <v>0</v>
      </c>
      <c r="W77" s="17">
        <f t="shared" si="20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</v>
      </c>
      <c r="D78" s="21" t="str">
        <f>Spieltag!B65</f>
        <v>Mohamed Simakan (A)</v>
      </c>
      <c r="E78" s="12" t="str">
        <f>Spieltag!C65</f>
        <v>Abwehr</v>
      </c>
      <c r="F78" s="13" t="s">
        <v>134</v>
      </c>
      <c r="G78" s="14"/>
      <c r="H78" s="15">
        <f t="shared" si="219"/>
        <v>0</v>
      </c>
      <c r="I78" s="14"/>
      <c r="J78" s="15">
        <f t="shared" si="220"/>
        <v>0</v>
      </c>
      <c r="K78" s="14"/>
      <c r="L78" s="15">
        <f t="shared" si="221"/>
        <v>0</v>
      </c>
      <c r="M78" s="14"/>
      <c r="N78" s="15">
        <f t="shared" si="222"/>
        <v>0</v>
      </c>
      <c r="O78" s="16">
        <f t="shared" si="204"/>
        <v>20</v>
      </c>
      <c r="P78" s="16">
        <f t="shared" si="205"/>
        <v>20</v>
      </c>
      <c r="Q78" s="16">
        <f t="shared" ref="Q78:Q85" si="225">IF(($Q$8&lt;&gt;0),$Q$8*-10,15)</f>
        <v>-10</v>
      </c>
      <c r="R78" s="14"/>
      <c r="S78" s="15">
        <f t="shared" ref="S78" si="226">R78*15</f>
        <v>0</v>
      </c>
      <c r="T78" s="14"/>
      <c r="U78" s="15">
        <f t="shared" si="224"/>
        <v>0</v>
      </c>
      <c r="V78" s="16">
        <f t="shared" si="208"/>
        <v>0</v>
      </c>
      <c r="W78" s="17">
        <f t="shared" si="209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3</v>
      </c>
      <c r="D79" s="21" t="str">
        <f>Spieltag!B66</f>
        <v>Christopher Lenz</v>
      </c>
      <c r="E79" s="12" t="str">
        <f>Spieltag!C66</f>
        <v>Abwehr</v>
      </c>
      <c r="F79" s="13" t="s">
        <v>134</v>
      </c>
      <c r="G79" s="14"/>
      <c r="H79" s="15">
        <f t="shared" ref="H79" si="227">IF(G79="x",10,0)</f>
        <v>0</v>
      </c>
      <c r="I79" s="14"/>
      <c r="J79" s="15">
        <f t="shared" ref="J79" si="228">IF((I79="x"),-10,0)</f>
        <v>0</v>
      </c>
      <c r="K79" s="14"/>
      <c r="L79" s="15">
        <f t="shared" ref="L79" si="229">IF((K79="x"),-20,0)</f>
        <v>0</v>
      </c>
      <c r="M79" s="14"/>
      <c r="N79" s="15">
        <f t="shared" ref="N79" si="230">IF((M79="x"),-30,0)</f>
        <v>0</v>
      </c>
      <c r="O79" s="16">
        <f t="shared" si="204"/>
        <v>20</v>
      </c>
      <c r="P79" s="16">
        <f t="shared" si="205"/>
        <v>20</v>
      </c>
      <c r="Q79" s="16">
        <f t="shared" si="225"/>
        <v>-10</v>
      </c>
      <c r="R79" s="14"/>
      <c r="S79" s="15">
        <f t="shared" ref="S79" si="231">R79*15</f>
        <v>0</v>
      </c>
      <c r="T79" s="14"/>
      <c r="U79" s="15">
        <f t="shared" ref="U79" si="232">T79*-15</f>
        <v>0</v>
      </c>
      <c r="V79" s="16">
        <f t="shared" ref="V79" si="233">IF(AND(R79=2),10,IF(R79=3,30,IF(R79=4,50,IF(R79=5,70,0))))</f>
        <v>0</v>
      </c>
      <c r="W79" s="17">
        <f t="shared" ref="W79" si="234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</v>
      </c>
      <c r="D80" s="21" t="str">
        <f>Spieltag!B67</f>
        <v>Willi Orban</v>
      </c>
      <c r="E80" s="12" t="str">
        <f>Spieltag!C67</f>
        <v>Abwehr</v>
      </c>
      <c r="F80" s="13" t="s">
        <v>134</v>
      </c>
      <c r="G80" s="14"/>
      <c r="H80" s="15">
        <f t="shared" ref="H80:H85" si="235">IF(G80="x",10,0)</f>
        <v>0</v>
      </c>
      <c r="I80" s="14"/>
      <c r="J80" s="15">
        <f t="shared" ref="J80:J85" si="236">IF((I80="x"),-10,0)</f>
        <v>0</v>
      </c>
      <c r="K80" s="14"/>
      <c r="L80" s="15">
        <f t="shared" ref="L80:L85" si="237">IF((K80="x"),-20,0)</f>
        <v>0</v>
      </c>
      <c r="M80" s="14"/>
      <c r="N80" s="15">
        <f t="shared" ref="N80:N85" si="238">IF((M80="x"),-30,0)</f>
        <v>0</v>
      </c>
      <c r="O80" s="16">
        <f t="shared" si="204"/>
        <v>20</v>
      </c>
      <c r="P80" s="16">
        <f t="shared" si="205"/>
        <v>20</v>
      </c>
      <c r="Q80" s="16">
        <f t="shared" si="225"/>
        <v>-10</v>
      </c>
      <c r="R80" s="14"/>
      <c r="S80" s="15">
        <f t="shared" ref="S80:S85" si="239">R80*15</f>
        <v>0</v>
      </c>
      <c r="T80" s="14"/>
      <c r="U80" s="15">
        <f t="shared" ref="U80:U85" si="240">T80*-15</f>
        <v>0</v>
      </c>
      <c r="V80" s="16">
        <f t="shared" ref="V80:V85" si="241">IF(AND(R80=2),10,IF(R80=3,30,IF(R80=4,50,IF(R80=5,70,0))))</f>
        <v>0</v>
      </c>
      <c r="W80" s="17">
        <f t="shared" ref="W80:W85" si="24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5</v>
      </c>
      <c r="D81" s="21" t="str">
        <f>Spieltag!B68</f>
        <v>El Chadaille Bitshiabu (A)</v>
      </c>
      <c r="E81" s="12" t="str">
        <f>Spieltag!C68</f>
        <v>Abwehr</v>
      </c>
      <c r="F81" s="13" t="s">
        <v>134</v>
      </c>
      <c r="G81" s="14"/>
      <c r="H81" s="15">
        <f t="shared" si="235"/>
        <v>0</v>
      </c>
      <c r="I81" s="14"/>
      <c r="J81" s="15">
        <f t="shared" si="236"/>
        <v>0</v>
      </c>
      <c r="K81" s="14"/>
      <c r="L81" s="15">
        <f t="shared" si="237"/>
        <v>0</v>
      </c>
      <c r="M81" s="14"/>
      <c r="N81" s="15">
        <f t="shared" si="238"/>
        <v>0</v>
      </c>
      <c r="O81" s="16">
        <f t="shared" si="204"/>
        <v>20</v>
      </c>
      <c r="P81" s="16">
        <f t="shared" si="205"/>
        <v>20</v>
      </c>
      <c r="Q81" s="16">
        <f t="shared" si="225"/>
        <v>-10</v>
      </c>
      <c r="R81" s="14"/>
      <c r="S81" s="15">
        <f t="shared" si="239"/>
        <v>0</v>
      </c>
      <c r="T81" s="14"/>
      <c r="U81" s="15">
        <f t="shared" si="240"/>
        <v>0</v>
      </c>
      <c r="V81" s="16">
        <f t="shared" si="241"/>
        <v>0</v>
      </c>
      <c r="W81" s="17">
        <f t="shared" si="242"/>
        <v>0</v>
      </c>
    </row>
    <row r="82" spans="1:23" ht="10.5" customHeight="1" x14ac:dyDescent="0.2">
      <c r="A82" s="11"/>
      <c r="B82" s="149">
        <f>COUNTA(Spieltag!K69:AA69)</f>
        <v>1</v>
      </c>
      <c r="C82" s="166">
        <f>Spieltag!A69</f>
        <v>16</v>
      </c>
      <c r="D82" s="21" t="str">
        <f>Spieltag!B69</f>
        <v>Lukas Klostermann</v>
      </c>
      <c r="E82" s="12" t="str">
        <f>Spieltag!C69</f>
        <v>Abwehr</v>
      </c>
      <c r="F82" s="13" t="s">
        <v>134</v>
      </c>
      <c r="G82" s="14" t="s">
        <v>661</v>
      </c>
      <c r="H82" s="15">
        <f t="shared" si="235"/>
        <v>10</v>
      </c>
      <c r="I82" s="14"/>
      <c r="J82" s="15">
        <f t="shared" si="236"/>
        <v>0</v>
      </c>
      <c r="K82" s="14"/>
      <c r="L82" s="15">
        <f t="shared" si="237"/>
        <v>0</v>
      </c>
      <c r="M82" s="14"/>
      <c r="N82" s="15">
        <f t="shared" si="238"/>
        <v>0</v>
      </c>
      <c r="O82" s="16">
        <f t="shared" si="204"/>
        <v>20</v>
      </c>
      <c r="P82" s="16">
        <f t="shared" si="205"/>
        <v>20</v>
      </c>
      <c r="Q82" s="16">
        <f t="shared" si="225"/>
        <v>-10</v>
      </c>
      <c r="R82" s="14"/>
      <c r="S82" s="15">
        <f t="shared" si="239"/>
        <v>0</v>
      </c>
      <c r="T82" s="14"/>
      <c r="U82" s="15">
        <f t="shared" si="240"/>
        <v>0</v>
      </c>
      <c r="V82" s="16">
        <f t="shared" si="241"/>
        <v>0</v>
      </c>
      <c r="W82" s="17">
        <f t="shared" si="242"/>
        <v>40</v>
      </c>
    </row>
    <row r="83" spans="1:23" ht="10.5" customHeight="1" x14ac:dyDescent="0.2">
      <c r="A83" s="11"/>
      <c r="B83" s="149">
        <f>COUNTA(Spieltag!K70:AA70)</f>
        <v>5</v>
      </c>
      <c r="C83" s="166">
        <f>Spieltag!A70</f>
        <v>22</v>
      </c>
      <c r="D83" s="21" t="str">
        <f>Spieltag!B70</f>
        <v>David Raum</v>
      </c>
      <c r="E83" s="12" t="str">
        <f>Spieltag!C70</f>
        <v>Abwehr</v>
      </c>
      <c r="F83" s="13" t="s">
        <v>134</v>
      </c>
      <c r="G83" s="14" t="s">
        <v>661</v>
      </c>
      <c r="H83" s="15">
        <f t="shared" si="235"/>
        <v>10</v>
      </c>
      <c r="I83" s="14"/>
      <c r="J83" s="15">
        <f t="shared" si="236"/>
        <v>0</v>
      </c>
      <c r="K83" s="14"/>
      <c r="L83" s="15">
        <f t="shared" si="237"/>
        <v>0</v>
      </c>
      <c r="M83" s="14"/>
      <c r="N83" s="15">
        <f t="shared" si="238"/>
        <v>0</v>
      </c>
      <c r="O83" s="16">
        <f t="shared" si="204"/>
        <v>20</v>
      </c>
      <c r="P83" s="16">
        <f t="shared" si="205"/>
        <v>20</v>
      </c>
      <c r="Q83" s="16">
        <f t="shared" si="225"/>
        <v>-10</v>
      </c>
      <c r="R83" s="14"/>
      <c r="S83" s="15">
        <f t="shared" si="239"/>
        <v>0</v>
      </c>
      <c r="T83" s="14"/>
      <c r="U83" s="15">
        <f t="shared" si="240"/>
        <v>0</v>
      </c>
      <c r="V83" s="16">
        <f t="shared" si="241"/>
        <v>0</v>
      </c>
      <c r="W83" s="17">
        <f t="shared" si="242"/>
        <v>40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23</v>
      </c>
      <c r="D84" s="21" t="str">
        <f>Spieltag!B71</f>
        <v>Castello Lukeba (A)</v>
      </c>
      <c r="E84" s="12" t="str">
        <f>Spieltag!C71</f>
        <v>Abwehr</v>
      </c>
      <c r="F84" s="13" t="s">
        <v>134</v>
      </c>
      <c r="G84" s="14"/>
      <c r="H84" s="15">
        <f t="shared" ref="H84" si="243">IF(G84="x",10,0)</f>
        <v>0</v>
      </c>
      <c r="I84" s="14"/>
      <c r="J84" s="15">
        <f t="shared" ref="J84" si="244">IF((I84="x"),-10,0)</f>
        <v>0</v>
      </c>
      <c r="K84" s="14"/>
      <c r="L84" s="15">
        <f t="shared" ref="L84" si="245">IF((K84="x"),-20,0)</f>
        <v>0</v>
      </c>
      <c r="M84" s="14"/>
      <c r="N84" s="15">
        <f t="shared" ref="N84" si="246">IF((M84="x"),-30,0)</f>
        <v>0</v>
      </c>
      <c r="O84" s="16">
        <f t="shared" si="204"/>
        <v>20</v>
      </c>
      <c r="P84" s="16">
        <f t="shared" si="205"/>
        <v>20</v>
      </c>
      <c r="Q84" s="16">
        <f t="shared" si="225"/>
        <v>-10</v>
      </c>
      <c r="R84" s="14"/>
      <c r="S84" s="15">
        <f t="shared" ref="S84" si="247">R84*15</f>
        <v>0</v>
      </c>
      <c r="T84" s="14"/>
      <c r="U84" s="15">
        <f t="shared" ref="U84" si="248">T84*-15</f>
        <v>0</v>
      </c>
      <c r="V84" s="16">
        <f t="shared" ref="V84" si="249">IF(AND(R84=2),10,IF(R84=3,30,IF(R84=4,50,IF(R84=5,70,0))))</f>
        <v>0</v>
      </c>
      <c r="W84" s="17">
        <f t="shared" ref="W84" si="250">IF(G84="x",H84+J84+L84+N84+O84+P84+Q84+S84+U84+V84,0)</f>
        <v>0</v>
      </c>
    </row>
    <row r="85" spans="1:23" ht="10.5" customHeight="1" x14ac:dyDescent="0.2">
      <c r="A85" s="11"/>
      <c r="B85" s="149">
        <f>COUNTA(Spieltag!K72:AA72)</f>
        <v>1</v>
      </c>
      <c r="C85" s="166">
        <f>Spieltag!A72</f>
        <v>39</v>
      </c>
      <c r="D85" s="21" t="str">
        <f>Spieltag!B72</f>
        <v>Benjamin Henrichs</v>
      </c>
      <c r="E85" s="12" t="str">
        <f>Spieltag!C72</f>
        <v>Abwehr</v>
      </c>
      <c r="F85" s="13" t="s">
        <v>134</v>
      </c>
      <c r="G85" s="14" t="s">
        <v>661</v>
      </c>
      <c r="H85" s="15">
        <f t="shared" si="235"/>
        <v>10</v>
      </c>
      <c r="I85" s="14"/>
      <c r="J85" s="15">
        <f t="shared" si="236"/>
        <v>0</v>
      </c>
      <c r="K85" s="14"/>
      <c r="L85" s="15">
        <f t="shared" si="237"/>
        <v>0</v>
      </c>
      <c r="M85" s="14"/>
      <c r="N85" s="15">
        <f t="shared" si="238"/>
        <v>0</v>
      </c>
      <c r="O85" s="16">
        <f t="shared" si="204"/>
        <v>20</v>
      </c>
      <c r="P85" s="16">
        <f t="shared" si="205"/>
        <v>20</v>
      </c>
      <c r="Q85" s="16">
        <f t="shared" si="225"/>
        <v>-10</v>
      </c>
      <c r="R85" s="14"/>
      <c r="S85" s="15">
        <f t="shared" si="239"/>
        <v>0</v>
      </c>
      <c r="T85" s="14"/>
      <c r="U85" s="15">
        <f t="shared" si="240"/>
        <v>0</v>
      </c>
      <c r="V85" s="16">
        <f t="shared" si="241"/>
        <v>0</v>
      </c>
      <c r="W85" s="17">
        <f t="shared" si="242"/>
        <v>40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7</v>
      </c>
      <c r="D86" s="21" t="str">
        <f>Spieltag!B73</f>
        <v>Dani Olmo (A)</v>
      </c>
      <c r="E86" s="12" t="str">
        <f>Spieltag!C73</f>
        <v>Mittelfeld</v>
      </c>
      <c r="F86" s="13" t="s">
        <v>134</v>
      </c>
      <c r="G86" s="14"/>
      <c r="H86" s="15">
        <f t="shared" ref="H86" si="251">IF(G86="x",10,0)</f>
        <v>0</v>
      </c>
      <c r="I86" s="14"/>
      <c r="J86" s="15">
        <f t="shared" ref="J86" si="252">IF((I86="x"),-10,0)</f>
        <v>0</v>
      </c>
      <c r="K86" s="14"/>
      <c r="L86" s="15">
        <f t="shared" ref="L86" si="253">IF((K86="x"),-20,0)</f>
        <v>0</v>
      </c>
      <c r="M86" s="14"/>
      <c r="N86" s="15">
        <f t="shared" ref="N86" si="254">IF((M86="x"),-30,0)</f>
        <v>0</v>
      </c>
      <c r="O86" s="16">
        <f t="shared" si="204"/>
        <v>20</v>
      </c>
      <c r="P86" s="16">
        <f t="shared" si="205"/>
        <v>20</v>
      </c>
      <c r="Q86" s="16">
        <f t="shared" ref="Q86:Q95" si="255">IF(($Q$8&lt;&gt;0),$Q$8*-10,10)</f>
        <v>-10</v>
      </c>
      <c r="R86" s="14"/>
      <c r="S86" s="15">
        <f t="shared" ref="S86" si="256">R86*10</f>
        <v>0</v>
      </c>
      <c r="T86" s="14"/>
      <c r="U86" s="15">
        <f t="shared" ref="U86" si="257">T86*-15</f>
        <v>0</v>
      </c>
      <c r="V86" s="16">
        <f t="shared" ref="V86" si="258">IF(AND(R86=2),10,IF(R86=3,30,IF(R86=4,50,IF(R86=5,70,0))))</f>
        <v>0</v>
      </c>
      <c r="W86" s="17">
        <f t="shared" ref="W86" si="259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8</v>
      </c>
      <c r="D87" s="21" t="str">
        <f>Spieltag!B74</f>
        <v>Amadou Haidara (A)</v>
      </c>
      <c r="E87" s="12" t="str">
        <f>Spieltag!C74</f>
        <v>Mittelfeld</v>
      </c>
      <c r="F87" s="13" t="s">
        <v>134</v>
      </c>
      <c r="G87" s="14"/>
      <c r="H87" s="15">
        <f t="shared" ref="H87:H95" si="260">IF(G87="x",10,0)</f>
        <v>0</v>
      </c>
      <c r="I87" s="14"/>
      <c r="J87" s="15">
        <f t="shared" ref="J87:J95" si="261">IF((I87="x"),-10,0)</f>
        <v>0</v>
      </c>
      <c r="K87" s="14"/>
      <c r="L87" s="15">
        <f t="shared" ref="L87:L95" si="262">IF((K87="x"),-20,0)</f>
        <v>0</v>
      </c>
      <c r="M87" s="14"/>
      <c r="N87" s="15">
        <f t="shared" ref="N87:N95" si="263">IF((M87="x"),-30,0)</f>
        <v>0</v>
      </c>
      <c r="O87" s="16">
        <f t="shared" si="204"/>
        <v>20</v>
      </c>
      <c r="P87" s="16">
        <f t="shared" si="205"/>
        <v>20</v>
      </c>
      <c r="Q87" s="16">
        <f t="shared" si="255"/>
        <v>-10</v>
      </c>
      <c r="R87" s="14"/>
      <c r="S87" s="15">
        <f t="shared" ref="S87:S95" si="264">R87*10</f>
        <v>0</v>
      </c>
      <c r="T87" s="14"/>
      <c r="U87" s="15">
        <f t="shared" ref="U87:U95" si="265">T87*-15</f>
        <v>0</v>
      </c>
      <c r="V87" s="16">
        <f t="shared" ref="V87:V95" si="266">IF(AND(R87=2),10,IF(R87=3,30,IF(R87=4,50,IF(R87=5,70,0))))</f>
        <v>0</v>
      </c>
      <c r="W87" s="17">
        <f t="shared" ref="W87:W95" si="267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10</v>
      </c>
      <c r="D88" s="21" t="str">
        <f>Spieltag!B75</f>
        <v>Emil Forsberg (A)</v>
      </c>
      <c r="E88" s="12" t="str">
        <f>Spieltag!C75</f>
        <v>Mittelfeld</v>
      </c>
      <c r="F88" s="13" t="s">
        <v>134</v>
      </c>
      <c r="G88" s="14"/>
      <c r="H88" s="15">
        <f t="shared" si="260"/>
        <v>0</v>
      </c>
      <c r="I88" s="14"/>
      <c r="J88" s="15">
        <f t="shared" si="261"/>
        <v>0</v>
      </c>
      <c r="K88" s="14"/>
      <c r="L88" s="15">
        <f t="shared" si="262"/>
        <v>0</v>
      </c>
      <c r="M88" s="14"/>
      <c r="N88" s="15">
        <f t="shared" si="263"/>
        <v>0</v>
      </c>
      <c r="O88" s="16">
        <f t="shared" si="204"/>
        <v>20</v>
      </c>
      <c r="P88" s="16">
        <f t="shared" si="205"/>
        <v>20</v>
      </c>
      <c r="Q88" s="16">
        <f t="shared" si="255"/>
        <v>-10</v>
      </c>
      <c r="R88" s="14"/>
      <c r="S88" s="15">
        <f t="shared" si="264"/>
        <v>0</v>
      </c>
      <c r="T88" s="14"/>
      <c r="U88" s="15">
        <f t="shared" si="265"/>
        <v>0</v>
      </c>
      <c r="V88" s="16">
        <f t="shared" si="266"/>
        <v>0</v>
      </c>
      <c r="W88" s="17">
        <f t="shared" si="26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13</v>
      </c>
      <c r="D89" s="21" t="str">
        <f>Spieltag!B76</f>
        <v>Nicolas Seiwald (A)</v>
      </c>
      <c r="E89" s="12" t="str">
        <f>Spieltag!C76</f>
        <v>Mittelfeld</v>
      </c>
      <c r="F89" s="13" t="s">
        <v>134</v>
      </c>
      <c r="G89" s="14"/>
      <c r="H89" s="15">
        <f t="shared" si="260"/>
        <v>0</v>
      </c>
      <c r="I89" s="14"/>
      <c r="J89" s="15">
        <f t="shared" si="261"/>
        <v>0</v>
      </c>
      <c r="K89" s="14"/>
      <c r="L89" s="15">
        <f t="shared" si="262"/>
        <v>0</v>
      </c>
      <c r="M89" s="14"/>
      <c r="N89" s="15">
        <f t="shared" si="263"/>
        <v>0</v>
      </c>
      <c r="O89" s="16">
        <f t="shared" si="204"/>
        <v>20</v>
      </c>
      <c r="P89" s="16">
        <f t="shared" si="205"/>
        <v>20</v>
      </c>
      <c r="Q89" s="16">
        <f t="shared" si="255"/>
        <v>-10</v>
      </c>
      <c r="R89" s="14"/>
      <c r="S89" s="15">
        <f t="shared" si="264"/>
        <v>0</v>
      </c>
      <c r="T89" s="14"/>
      <c r="U89" s="15">
        <f t="shared" si="265"/>
        <v>0</v>
      </c>
      <c r="V89" s="16">
        <f t="shared" si="266"/>
        <v>0</v>
      </c>
      <c r="W89" s="17">
        <f t="shared" si="267"/>
        <v>0</v>
      </c>
    </row>
    <row r="90" spans="1:23" ht="10.5" customHeight="1" x14ac:dyDescent="0.2">
      <c r="A90" s="11"/>
      <c r="B90" s="149">
        <f>COUNTA(Spieltag!K77:AA77)</f>
        <v>1</v>
      </c>
      <c r="C90" s="166">
        <f>Spieltag!A77</f>
        <v>14</v>
      </c>
      <c r="D90" s="21" t="str">
        <f>Spieltag!B77</f>
        <v>Christoph Baumgartner (A)</v>
      </c>
      <c r="E90" s="12" t="str">
        <f>Spieltag!C77</f>
        <v>Mittelfeld</v>
      </c>
      <c r="F90" s="13" t="s">
        <v>134</v>
      </c>
      <c r="G90" s="14" t="s">
        <v>661</v>
      </c>
      <c r="H90" s="15">
        <f t="shared" si="260"/>
        <v>10</v>
      </c>
      <c r="I90" s="14" t="s">
        <v>661</v>
      </c>
      <c r="J90" s="15">
        <f t="shared" si="261"/>
        <v>-10</v>
      </c>
      <c r="K90" s="14"/>
      <c r="L90" s="15">
        <f t="shared" si="262"/>
        <v>0</v>
      </c>
      <c r="M90" s="14"/>
      <c r="N90" s="15">
        <f t="shared" si="263"/>
        <v>0</v>
      </c>
      <c r="O90" s="16">
        <f t="shared" si="204"/>
        <v>20</v>
      </c>
      <c r="P90" s="16">
        <f t="shared" si="205"/>
        <v>20</v>
      </c>
      <c r="Q90" s="16">
        <f t="shared" si="255"/>
        <v>-10</v>
      </c>
      <c r="R90" s="14"/>
      <c r="S90" s="15">
        <f t="shared" si="264"/>
        <v>0</v>
      </c>
      <c r="T90" s="14"/>
      <c r="U90" s="15">
        <f t="shared" si="265"/>
        <v>0</v>
      </c>
      <c r="V90" s="16">
        <f t="shared" si="266"/>
        <v>0</v>
      </c>
      <c r="W90" s="17">
        <f t="shared" si="267"/>
        <v>30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18</v>
      </c>
      <c r="D91" s="21" t="str">
        <f>Spieltag!B78</f>
        <v>Fabio Carvalho (A)</v>
      </c>
      <c r="E91" s="12" t="str">
        <f>Spieltag!C78</f>
        <v>Mittelfeld</v>
      </c>
      <c r="F91" s="13" t="s">
        <v>134</v>
      </c>
      <c r="G91" s="14"/>
      <c r="H91" s="15">
        <f t="shared" si="260"/>
        <v>0</v>
      </c>
      <c r="I91" s="14"/>
      <c r="J91" s="15">
        <f t="shared" si="261"/>
        <v>0</v>
      </c>
      <c r="K91" s="14"/>
      <c r="L91" s="15">
        <f t="shared" si="262"/>
        <v>0</v>
      </c>
      <c r="M91" s="14"/>
      <c r="N91" s="15">
        <f t="shared" si="263"/>
        <v>0</v>
      </c>
      <c r="O91" s="16">
        <f t="shared" si="204"/>
        <v>20</v>
      </c>
      <c r="P91" s="16">
        <f t="shared" si="205"/>
        <v>20</v>
      </c>
      <c r="Q91" s="16">
        <f t="shared" si="255"/>
        <v>-10</v>
      </c>
      <c r="R91" s="14"/>
      <c r="S91" s="15">
        <f t="shared" si="264"/>
        <v>0</v>
      </c>
      <c r="T91" s="14"/>
      <c r="U91" s="15">
        <f t="shared" si="265"/>
        <v>0</v>
      </c>
      <c r="V91" s="16">
        <f t="shared" si="266"/>
        <v>0</v>
      </c>
      <c r="W91" s="17">
        <f t="shared" si="267"/>
        <v>0</v>
      </c>
    </row>
    <row r="92" spans="1:23" ht="10.5" customHeight="1" x14ac:dyDescent="0.2">
      <c r="A92" s="11"/>
      <c r="B92" s="149">
        <f>COUNTA(Spieltag!K79:AA79)</f>
        <v>3</v>
      </c>
      <c r="C92" s="166">
        <f>Spieltag!A79</f>
        <v>20</v>
      </c>
      <c r="D92" s="21" t="str">
        <f>Spieltag!B79</f>
        <v>Xavi Simons (A)</v>
      </c>
      <c r="E92" s="12" t="str">
        <f>Spieltag!C79</f>
        <v>Mittelfeld</v>
      </c>
      <c r="F92" s="13" t="s">
        <v>134</v>
      </c>
      <c r="G92" s="14" t="s">
        <v>661</v>
      </c>
      <c r="H92" s="15">
        <f t="shared" si="260"/>
        <v>10</v>
      </c>
      <c r="I92" s="14"/>
      <c r="J92" s="15">
        <f t="shared" si="261"/>
        <v>0</v>
      </c>
      <c r="K92" s="14"/>
      <c r="L92" s="15">
        <f t="shared" si="262"/>
        <v>0</v>
      </c>
      <c r="M92" s="14"/>
      <c r="N92" s="15">
        <f t="shared" si="263"/>
        <v>0</v>
      </c>
      <c r="O92" s="16">
        <f t="shared" si="204"/>
        <v>20</v>
      </c>
      <c r="P92" s="16">
        <f t="shared" si="205"/>
        <v>20</v>
      </c>
      <c r="Q92" s="16">
        <f t="shared" si="255"/>
        <v>-10</v>
      </c>
      <c r="R92" s="14"/>
      <c r="S92" s="15">
        <f t="shared" si="264"/>
        <v>0</v>
      </c>
      <c r="T92" s="14"/>
      <c r="U92" s="15">
        <f t="shared" si="265"/>
        <v>0</v>
      </c>
      <c r="V92" s="16">
        <f t="shared" si="266"/>
        <v>0</v>
      </c>
      <c r="W92" s="17">
        <f t="shared" si="267"/>
        <v>40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24</v>
      </c>
      <c r="D93" s="21" t="str">
        <f>Spieltag!B80</f>
        <v>Xaver Schlager (A)</v>
      </c>
      <c r="E93" s="12" t="str">
        <f>Spieltag!C80</f>
        <v>Mittelfeld</v>
      </c>
      <c r="F93" s="13" t="s">
        <v>134</v>
      </c>
      <c r="G93" s="14"/>
      <c r="H93" s="15">
        <f t="shared" si="260"/>
        <v>0</v>
      </c>
      <c r="I93" s="14"/>
      <c r="J93" s="15">
        <f t="shared" si="261"/>
        <v>0</v>
      </c>
      <c r="K93" s="14"/>
      <c r="L93" s="15">
        <f t="shared" si="262"/>
        <v>0</v>
      </c>
      <c r="M93" s="14"/>
      <c r="N93" s="15">
        <f t="shared" si="263"/>
        <v>0</v>
      </c>
      <c r="O93" s="16">
        <f t="shared" si="204"/>
        <v>20</v>
      </c>
      <c r="P93" s="16">
        <f t="shared" si="205"/>
        <v>20</v>
      </c>
      <c r="Q93" s="16">
        <f t="shared" si="255"/>
        <v>-10</v>
      </c>
      <c r="R93" s="14"/>
      <c r="S93" s="15">
        <f t="shared" si="264"/>
        <v>0</v>
      </c>
      <c r="T93" s="14"/>
      <c r="U93" s="15">
        <f t="shared" si="265"/>
        <v>0</v>
      </c>
      <c r="V93" s="16">
        <f t="shared" si="266"/>
        <v>0</v>
      </c>
      <c r="W93" s="17">
        <f t="shared" si="267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26</v>
      </c>
      <c r="D94" s="21" t="str">
        <f>Spieltag!B81</f>
        <v>Ilaix Moriba (A)</v>
      </c>
      <c r="E94" s="12" t="str">
        <f>Spieltag!C81</f>
        <v>Mittelfeld</v>
      </c>
      <c r="F94" s="13" t="s">
        <v>134</v>
      </c>
      <c r="G94" s="14"/>
      <c r="H94" s="15">
        <f t="shared" si="260"/>
        <v>0</v>
      </c>
      <c r="I94" s="14"/>
      <c r="J94" s="15">
        <f t="shared" si="261"/>
        <v>0</v>
      </c>
      <c r="K94" s="14"/>
      <c r="L94" s="15">
        <f t="shared" si="262"/>
        <v>0</v>
      </c>
      <c r="M94" s="14"/>
      <c r="N94" s="15">
        <f t="shared" si="263"/>
        <v>0</v>
      </c>
      <c r="O94" s="16">
        <f t="shared" si="204"/>
        <v>20</v>
      </c>
      <c r="P94" s="16">
        <f t="shared" si="205"/>
        <v>20</v>
      </c>
      <c r="Q94" s="16">
        <f t="shared" si="255"/>
        <v>-10</v>
      </c>
      <c r="R94" s="14"/>
      <c r="S94" s="15">
        <f t="shared" si="264"/>
        <v>0</v>
      </c>
      <c r="T94" s="14"/>
      <c r="U94" s="15">
        <f t="shared" si="265"/>
        <v>0</v>
      </c>
      <c r="V94" s="16">
        <f t="shared" si="266"/>
        <v>0</v>
      </c>
      <c r="W94" s="17">
        <f t="shared" si="267"/>
        <v>0</v>
      </c>
    </row>
    <row r="95" spans="1:23" ht="10.5" customHeight="1" x14ac:dyDescent="0.2">
      <c r="A95" s="11"/>
      <c r="B95" s="149">
        <f>COUNTA(Spieltag!K82:AA82)</f>
        <v>3</v>
      </c>
      <c r="C95" s="166">
        <f>Spieltag!A82</f>
        <v>44</v>
      </c>
      <c r="D95" s="21" t="str">
        <f>Spieltag!B82</f>
        <v>Kevin Kampl (A)</v>
      </c>
      <c r="E95" s="12" t="str">
        <f>Spieltag!C82</f>
        <v>Mittelfeld</v>
      </c>
      <c r="F95" s="13" t="s">
        <v>134</v>
      </c>
      <c r="G95" s="14" t="s">
        <v>59</v>
      </c>
      <c r="H95" s="15">
        <f t="shared" si="260"/>
        <v>0</v>
      </c>
      <c r="I95" s="14"/>
      <c r="J95" s="15">
        <f t="shared" si="261"/>
        <v>0</v>
      </c>
      <c r="K95" s="14"/>
      <c r="L95" s="15">
        <f t="shared" si="262"/>
        <v>0</v>
      </c>
      <c r="M95" s="14"/>
      <c r="N95" s="15">
        <f t="shared" si="263"/>
        <v>0</v>
      </c>
      <c r="O95" s="16">
        <f t="shared" si="204"/>
        <v>20</v>
      </c>
      <c r="P95" s="16">
        <f t="shared" si="205"/>
        <v>20</v>
      </c>
      <c r="Q95" s="16">
        <f t="shared" si="255"/>
        <v>-10</v>
      </c>
      <c r="R95" s="14"/>
      <c r="S95" s="15">
        <f t="shared" si="264"/>
        <v>0</v>
      </c>
      <c r="T95" s="14"/>
      <c r="U95" s="15">
        <f t="shared" si="265"/>
        <v>0</v>
      </c>
      <c r="V95" s="16">
        <f t="shared" si="266"/>
        <v>0</v>
      </c>
      <c r="W95" s="17">
        <f t="shared" si="267"/>
        <v>0</v>
      </c>
    </row>
    <row r="96" spans="1:23" ht="10.5" hidden="1" customHeight="1" x14ac:dyDescent="0.2">
      <c r="A96" s="11" t="s">
        <v>156</v>
      </c>
      <c r="B96" s="149">
        <f>COUNTA(Spieltag!K83:AA83)</f>
        <v>0</v>
      </c>
      <c r="C96" s="166">
        <f>Spieltag!A83</f>
        <v>9</v>
      </c>
      <c r="D96" s="21" t="str">
        <f>Spieltag!B83</f>
        <v>Yussuf Poulsen (A)</v>
      </c>
      <c r="E96" s="12" t="str">
        <f>Spieltag!C83</f>
        <v>Sturm</v>
      </c>
      <c r="F96" s="13" t="s">
        <v>134</v>
      </c>
      <c r="G96" s="14"/>
      <c r="H96" s="15">
        <f>IF(G96="x",10,0)</f>
        <v>0</v>
      </c>
      <c r="I96" s="14"/>
      <c r="J96" s="15">
        <f>IF((I96="x"),-10,0)</f>
        <v>0</v>
      </c>
      <c r="K96" s="14"/>
      <c r="L96" s="15">
        <f>IF((K96="x"),-20,0)</f>
        <v>0</v>
      </c>
      <c r="M96" s="14"/>
      <c r="N96" s="15">
        <f>IF((M96="x"),-30,0)</f>
        <v>0</v>
      </c>
      <c r="O96" s="16">
        <f>IF(AND($P$8&gt;$Q$8),20,IF($P$8=$Q$8,10,0))</f>
        <v>20</v>
      </c>
      <c r="P96" s="16">
        <f>IF(($P$8&lt;&gt;0),$P$8*10,-5)</f>
        <v>20</v>
      </c>
      <c r="Q96" s="16">
        <f>IF(($Q$8&lt;&gt;0),$Q$8*-10,5)</f>
        <v>-10</v>
      </c>
      <c r="R96" s="14"/>
      <c r="S96" s="15">
        <f>R96*10</f>
        <v>0</v>
      </c>
      <c r="T96" s="14"/>
      <c r="U96" s="15">
        <f>T96*-15</f>
        <v>0</v>
      </c>
      <c r="V96" s="16">
        <f>IF(AND(R96=2),10,IF(R96=3,30,IF(R96=4,50,IF(R96=5,70,0))))</f>
        <v>0</v>
      </c>
      <c r="W96" s="17">
        <f>IF(G96="x",H96+J96+L96+N96+O96+P96+Q96+S96+U96+V96,0)</f>
        <v>0</v>
      </c>
    </row>
    <row r="97" spans="1:23" ht="10.5" hidden="1" customHeight="1" x14ac:dyDescent="0.2">
      <c r="A97" s="11" t="s">
        <v>156</v>
      </c>
      <c r="B97" s="149">
        <f>COUNTA(Spieltag!K84:AA84)</f>
        <v>0</v>
      </c>
      <c r="C97" s="166">
        <f>Spieltag!A84</f>
        <v>11</v>
      </c>
      <c r="D97" s="21" t="str">
        <f>Spieltag!B84</f>
        <v>Timo Werner</v>
      </c>
      <c r="E97" s="12" t="str">
        <f>Spieltag!C84</f>
        <v>Sturm</v>
      </c>
      <c r="F97" s="13" t="s">
        <v>134</v>
      </c>
      <c r="G97" s="14"/>
      <c r="H97" s="15">
        <f t="shared" ref="H97:H99" si="268">IF(G97="x",10,0)</f>
        <v>0</v>
      </c>
      <c r="I97" s="14"/>
      <c r="J97" s="15">
        <f t="shared" ref="J97:J99" si="269">IF((I97="x"),-10,0)</f>
        <v>0</v>
      </c>
      <c r="K97" s="14"/>
      <c r="L97" s="15">
        <f t="shared" ref="L97:L99" si="270">IF((K97="x"),-20,0)</f>
        <v>0</v>
      </c>
      <c r="M97" s="14"/>
      <c r="N97" s="15">
        <f t="shared" ref="N97:N99" si="271">IF((M97="x"),-30,0)</f>
        <v>0</v>
      </c>
      <c r="O97" s="16">
        <f t="shared" ref="O97:O99" si="272">IF(AND($P$8&gt;$Q$8),20,IF($P$8=$Q$8,10,0))</f>
        <v>20</v>
      </c>
      <c r="P97" s="16">
        <f t="shared" ref="P97:P99" si="273">IF(($P$8&lt;&gt;0),$P$8*10,-5)</f>
        <v>20</v>
      </c>
      <c r="Q97" s="16">
        <f t="shared" ref="Q97:Q99" si="274">IF(($Q$8&lt;&gt;0),$Q$8*-10,5)</f>
        <v>-10</v>
      </c>
      <c r="R97" s="14"/>
      <c r="S97" s="15">
        <f t="shared" ref="S97:S99" si="275">R97*10</f>
        <v>0</v>
      </c>
      <c r="T97" s="14"/>
      <c r="U97" s="15">
        <f t="shared" ref="U97:U99" si="276">T97*-15</f>
        <v>0</v>
      </c>
      <c r="V97" s="16">
        <f t="shared" ref="V97:V99" si="277">IF(AND(R97=2),10,IF(R97=3,30,IF(R97=4,50,IF(R97=5,70,0))))</f>
        <v>0</v>
      </c>
      <c r="W97" s="17">
        <f t="shared" ref="W97:W99" si="278">IF(G97="x",H97+J97+L97+N97+O97+P97+Q97+S97+U97+V97,0)</f>
        <v>0</v>
      </c>
    </row>
    <row r="98" spans="1:23" ht="10.5" customHeight="1" x14ac:dyDescent="0.2">
      <c r="A98" s="11" t="s">
        <v>156</v>
      </c>
      <c r="B98" s="149">
        <f>COUNTA(Spieltag!K85:AA85)</f>
        <v>3</v>
      </c>
      <c r="C98" s="166">
        <f>Spieltag!A85</f>
        <v>17</v>
      </c>
      <c r="D98" s="21" t="str">
        <f>Spieltag!B85</f>
        <v>Loїs Openda (A)</v>
      </c>
      <c r="E98" s="12" t="str">
        <f>Spieltag!C85</f>
        <v>Sturm</v>
      </c>
      <c r="F98" s="13" t="s">
        <v>134</v>
      </c>
      <c r="G98" s="14" t="s">
        <v>661</v>
      </c>
      <c r="H98" s="15">
        <f t="shared" si="268"/>
        <v>10</v>
      </c>
      <c r="I98" s="14"/>
      <c r="J98" s="15">
        <f t="shared" si="269"/>
        <v>0</v>
      </c>
      <c r="K98" s="14"/>
      <c r="L98" s="15">
        <f t="shared" si="270"/>
        <v>0</v>
      </c>
      <c r="M98" s="14"/>
      <c r="N98" s="15">
        <f t="shared" si="271"/>
        <v>0</v>
      </c>
      <c r="O98" s="16">
        <f t="shared" si="272"/>
        <v>20</v>
      </c>
      <c r="P98" s="16">
        <f t="shared" si="273"/>
        <v>20</v>
      </c>
      <c r="Q98" s="16">
        <f t="shared" si="274"/>
        <v>-10</v>
      </c>
      <c r="R98" s="14">
        <v>1</v>
      </c>
      <c r="S98" s="15">
        <f t="shared" si="275"/>
        <v>10</v>
      </c>
      <c r="T98" s="14"/>
      <c r="U98" s="15">
        <f t="shared" si="276"/>
        <v>0</v>
      </c>
      <c r="V98" s="16">
        <f t="shared" si="277"/>
        <v>0</v>
      </c>
      <c r="W98" s="17">
        <f t="shared" si="278"/>
        <v>50</v>
      </c>
    </row>
    <row r="99" spans="1:23" ht="10.5" hidden="1" customHeight="1" x14ac:dyDescent="0.2">
      <c r="A99" s="11" t="s">
        <v>156</v>
      </c>
      <c r="B99" s="149">
        <f>COUNTA(Spieltag!K86:AA86)</f>
        <v>0</v>
      </c>
      <c r="C99" s="166">
        <f>Spieltag!A86</f>
        <v>30</v>
      </c>
      <c r="D99" s="21" t="str">
        <f>Spieltag!B86</f>
        <v>Benjamin Šeško (A)</v>
      </c>
      <c r="E99" s="12" t="str">
        <f>Spieltag!C86</f>
        <v>Sturm</v>
      </c>
      <c r="F99" s="13" t="s">
        <v>134</v>
      </c>
      <c r="G99" s="14"/>
      <c r="H99" s="15">
        <f t="shared" si="268"/>
        <v>0</v>
      </c>
      <c r="I99" s="14"/>
      <c r="J99" s="15">
        <f t="shared" si="269"/>
        <v>0</v>
      </c>
      <c r="K99" s="14"/>
      <c r="L99" s="15">
        <f t="shared" si="270"/>
        <v>0</v>
      </c>
      <c r="M99" s="14"/>
      <c r="N99" s="15">
        <f t="shared" si="271"/>
        <v>0</v>
      </c>
      <c r="O99" s="16">
        <f t="shared" si="272"/>
        <v>20</v>
      </c>
      <c r="P99" s="16">
        <f t="shared" si="273"/>
        <v>20</v>
      </c>
      <c r="Q99" s="16">
        <f t="shared" si="274"/>
        <v>-10</v>
      </c>
      <c r="R99" s="14"/>
      <c r="S99" s="15">
        <f t="shared" si="275"/>
        <v>0</v>
      </c>
      <c r="T99" s="14"/>
      <c r="U99" s="15">
        <f t="shared" si="276"/>
        <v>0</v>
      </c>
      <c r="V99" s="16">
        <f t="shared" si="277"/>
        <v>0</v>
      </c>
      <c r="W99" s="17">
        <f t="shared" si="278"/>
        <v>0</v>
      </c>
    </row>
    <row r="100" spans="1:23" s="144" customFormat="1" ht="17.25" hidden="1" thickBot="1" x14ac:dyDescent="0.25">
      <c r="A100" s="142"/>
      <c r="B100" s="143">
        <f>SUM(A101:B128)</f>
        <v>0</v>
      </c>
      <c r="C100" s="158"/>
      <c r="D100" s="234" t="s">
        <v>179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5"/>
    </row>
    <row r="101" spans="1:23" ht="10.5" hidden="1" customHeight="1" x14ac:dyDescent="0.2">
      <c r="A101" s="11"/>
      <c r="B101" s="150">
        <f>COUNTA(Spieltag!K88:AA88)</f>
        <v>0</v>
      </c>
      <c r="C101" s="166">
        <f>Spieltag!A88</f>
        <v>1</v>
      </c>
      <c r="D101" s="21" t="str">
        <f>Spieltag!B88</f>
        <v>Frederik Rønnow (A)</v>
      </c>
      <c r="E101" s="151" t="str">
        <f>Spieltag!C88</f>
        <v>Torwart</v>
      </c>
      <c r="F101" s="152" t="s">
        <v>180</v>
      </c>
      <c r="G101" s="153"/>
      <c r="H101" s="154">
        <f>IF(G101="x",10,0)</f>
        <v>0</v>
      </c>
      <c r="I101" s="153"/>
      <c r="J101" s="154">
        <f>IF((I101="x"),-10,0)</f>
        <v>0</v>
      </c>
      <c r="K101" s="153"/>
      <c r="L101" s="154">
        <f>IF((K101="x"),-20,0)</f>
        <v>0</v>
      </c>
      <c r="M101" s="153"/>
      <c r="N101" s="154">
        <f>IF((M101="x"),-30,0)</f>
        <v>0</v>
      </c>
      <c r="O101" s="155">
        <f t="shared" ref="O101:O128" si="279">IF(AND($V$4&gt;$W$4),20,IF($V$4=$W$4,10,0))</f>
        <v>0</v>
      </c>
      <c r="P101" s="155">
        <f t="shared" ref="P101:P128" si="280">IF(($V$4&lt;&gt;0),$V$4*10,-5)</f>
        <v>-5</v>
      </c>
      <c r="Q101" s="155">
        <f>IF(($W$4&lt;&gt;0),$W$4*-10,20)</f>
        <v>-10</v>
      </c>
      <c r="R101" s="153"/>
      <c r="S101" s="154">
        <f>R101*20</f>
        <v>0</v>
      </c>
      <c r="T101" s="153"/>
      <c r="U101" s="154">
        <f>T101*-15</f>
        <v>0</v>
      </c>
      <c r="V101" s="155">
        <f>IF(AND(R101=2),10,IF(R101=3,30,IF(R101=4,50,IF(R101=5,70,0))))</f>
        <v>0</v>
      </c>
      <c r="W101" s="156">
        <f>IF(G101="x",H101+J101+L101+N101+O101+P101+Q101+S101+U101+V101,0)</f>
        <v>0</v>
      </c>
    </row>
    <row r="102" spans="1:23" ht="10.5" hidden="1" customHeight="1" x14ac:dyDescent="0.2">
      <c r="A102" s="11"/>
      <c r="B102" s="150">
        <f>COUNTA(Spieltag!K89:AA89)</f>
        <v>0</v>
      </c>
      <c r="C102" s="166">
        <f>Spieltag!A89</f>
        <v>12</v>
      </c>
      <c r="D102" s="21" t="str">
        <f>Spieltag!B89</f>
        <v>Jakob Busk (A)</v>
      </c>
      <c r="E102" s="151" t="str">
        <f>Spieltag!C89</f>
        <v>Torwart</v>
      </c>
      <c r="F102" s="152" t="s">
        <v>180</v>
      </c>
      <c r="G102" s="153"/>
      <c r="H102" s="154">
        <f t="shared" ref="H102:H104" si="281">IF(G102="x",10,0)</f>
        <v>0</v>
      </c>
      <c r="I102" s="153"/>
      <c r="J102" s="154">
        <f t="shared" ref="J102:J104" si="282">IF((I102="x"),-10,0)</f>
        <v>0</v>
      </c>
      <c r="K102" s="153"/>
      <c r="L102" s="154">
        <f t="shared" ref="L102:L104" si="283">IF((K102="x"),-20,0)</f>
        <v>0</v>
      </c>
      <c r="M102" s="153"/>
      <c r="N102" s="154">
        <f t="shared" ref="N102:N104" si="284">IF((M102="x"),-30,0)</f>
        <v>0</v>
      </c>
      <c r="O102" s="155">
        <f t="shared" si="279"/>
        <v>0</v>
      </c>
      <c r="P102" s="155">
        <f t="shared" si="280"/>
        <v>-5</v>
      </c>
      <c r="Q102" s="155">
        <f t="shared" ref="Q102:Q104" si="285">IF(($W$4&lt;&gt;0),$W$4*-10,20)</f>
        <v>-10</v>
      </c>
      <c r="R102" s="153"/>
      <c r="S102" s="154">
        <f t="shared" ref="S102:S104" si="286">R102*20</f>
        <v>0</v>
      </c>
      <c r="T102" s="153"/>
      <c r="U102" s="154">
        <f t="shared" ref="U102:U104" si="287">T102*-15</f>
        <v>0</v>
      </c>
      <c r="V102" s="155">
        <f t="shared" ref="V102:V104" si="288">IF(AND(R102=2),10,IF(R102=3,30,IF(R102=4,50,IF(R102=5,70,0))))</f>
        <v>0</v>
      </c>
      <c r="W102" s="156">
        <f t="shared" ref="W102:W104" si="289">IF(G102="x",H102+J102+L102+N102+O102+P102+Q102+S102+U102+V102,0)</f>
        <v>0</v>
      </c>
    </row>
    <row r="103" spans="1:23" ht="10.5" hidden="1" customHeight="1" x14ac:dyDescent="0.2">
      <c r="A103" s="11"/>
      <c r="B103" s="150">
        <f>COUNTA(Spieltag!K90:AA90)</f>
        <v>0</v>
      </c>
      <c r="C103" s="166">
        <f>Spieltag!A90</f>
        <v>37</v>
      </c>
      <c r="D103" s="21" t="str">
        <f>Spieltag!B90</f>
        <v>Alexander Schwolow</v>
      </c>
      <c r="E103" s="151" t="str">
        <f>Spieltag!C90</f>
        <v>Torwart</v>
      </c>
      <c r="F103" s="152" t="s">
        <v>180</v>
      </c>
      <c r="G103" s="153"/>
      <c r="H103" s="154">
        <f t="shared" ref="H103" si="290">IF(G103="x",10,0)</f>
        <v>0</v>
      </c>
      <c r="I103" s="153"/>
      <c r="J103" s="154">
        <f t="shared" ref="J103" si="291">IF((I103="x"),-10,0)</f>
        <v>0</v>
      </c>
      <c r="K103" s="153"/>
      <c r="L103" s="154">
        <f t="shared" ref="L103" si="292">IF((K103="x"),-20,0)</f>
        <v>0</v>
      </c>
      <c r="M103" s="153"/>
      <c r="N103" s="154">
        <f t="shared" ref="N103" si="293">IF((M103="x"),-30,0)</f>
        <v>0</v>
      </c>
      <c r="O103" s="155">
        <f t="shared" si="279"/>
        <v>0</v>
      </c>
      <c r="P103" s="155">
        <f t="shared" si="280"/>
        <v>-5</v>
      </c>
      <c r="Q103" s="155">
        <f t="shared" si="285"/>
        <v>-10</v>
      </c>
      <c r="R103" s="153"/>
      <c r="S103" s="154">
        <f t="shared" ref="S103" si="294">R103*20</f>
        <v>0</v>
      </c>
      <c r="T103" s="153"/>
      <c r="U103" s="154">
        <f t="shared" ref="U103" si="295">T103*-15</f>
        <v>0</v>
      </c>
      <c r="V103" s="155">
        <f t="shared" ref="V103" si="296">IF(AND(R103=2),10,IF(R103=3,30,IF(R103=4,50,IF(R103=5,70,0))))</f>
        <v>0</v>
      </c>
      <c r="W103" s="156">
        <f t="shared" ref="W103" si="297">IF(G103="x",H103+J103+L103+N103+O103+P103+Q103+S103+U103+V103,0)</f>
        <v>0</v>
      </c>
    </row>
    <row r="104" spans="1:23" ht="10.5" hidden="1" customHeight="1" x14ac:dyDescent="0.2">
      <c r="A104" s="11"/>
      <c r="B104" s="150">
        <f>COUNTA(Spieltag!K91:AA91)</f>
        <v>0</v>
      </c>
      <c r="C104" s="166">
        <f>Spieltag!A91</f>
        <v>39</v>
      </c>
      <c r="D104" s="21" t="str">
        <f>Spieltag!B91</f>
        <v>Yannic Stein</v>
      </c>
      <c r="E104" s="151" t="str">
        <f>Spieltag!C91</f>
        <v>Torwart</v>
      </c>
      <c r="F104" s="152" t="s">
        <v>180</v>
      </c>
      <c r="G104" s="153"/>
      <c r="H104" s="154">
        <f t="shared" si="281"/>
        <v>0</v>
      </c>
      <c r="I104" s="153"/>
      <c r="J104" s="154">
        <f t="shared" si="282"/>
        <v>0</v>
      </c>
      <c r="K104" s="153"/>
      <c r="L104" s="154">
        <f t="shared" si="283"/>
        <v>0</v>
      </c>
      <c r="M104" s="153"/>
      <c r="N104" s="154">
        <f t="shared" si="284"/>
        <v>0</v>
      </c>
      <c r="O104" s="155">
        <f t="shared" si="279"/>
        <v>0</v>
      </c>
      <c r="P104" s="155">
        <f t="shared" si="280"/>
        <v>-5</v>
      </c>
      <c r="Q104" s="155">
        <f t="shared" si="285"/>
        <v>-10</v>
      </c>
      <c r="R104" s="153"/>
      <c r="S104" s="154">
        <f t="shared" si="286"/>
        <v>0</v>
      </c>
      <c r="T104" s="153"/>
      <c r="U104" s="154">
        <f t="shared" si="287"/>
        <v>0</v>
      </c>
      <c r="V104" s="155">
        <f t="shared" si="288"/>
        <v>0</v>
      </c>
      <c r="W104" s="156">
        <f t="shared" si="289"/>
        <v>0</v>
      </c>
    </row>
    <row r="105" spans="1:23" ht="10.5" hidden="1" customHeight="1" x14ac:dyDescent="0.2">
      <c r="A105" s="11"/>
      <c r="B105" s="150">
        <f>COUNTA(Spieltag!K92:AA92)</f>
        <v>0</v>
      </c>
      <c r="C105" s="166">
        <f>Spieltag!A92</f>
        <v>3</v>
      </c>
      <c r="D105" s="21" t="str">
        <f>Spieltag!B92</f>
        <v>Paul Jaeckel</v>
      </c>
      <c r="E105" s="151" t="str">
        <f>Spieltag!C92</f>
        <v>Abwehr</v>
      </c>
      <c r="F105" s="152" t="s">
        <v>180</v>
      </c>
      <c r="G105" s="153"/>
      <c r="H105" s="154">
        <f t="shared" ref="H105" si="298">IF(G105="x",10,0)</f>
        <v>0</v>
      </c>
      <c r="I105" s="153"/>
      <c r="J105" s="154">
        <f t="shared" ref="J105" si="299">IF((I105="x"),-10,0)</f>
        <v>0</v>
      </c>
      <c r="K105" s="153"/>
      <c r="L105" s="154">
        <f t="shared" ref="L105" si="300">IF((K105="x"),-20,0)</f>
        <v>0</v>
      </c>
      <c r="M105" s="153"/>
      <c r="N105" s="154">
        <f t="shared" ref="N105" si="301">IF((M105="x"),-30,0)</f>
        <v>0</v>
      </c>
      <c r="O105" s="155">
        <f t="shared" si="279"/>
        <v>0</v>
      </c>
      <c r="P105" s="155">
        <f t="shared" si="280"/>
        <v>-5</v>
      </c>
      <c r="Q105" s="155">
        <f t="shared" ref="Q105:Q113" si="302">IF(($W$4&lt;&gt;0),$W$4*-10,15)</f>
        <v>-10</v>
      </c>
      <c r="R105" s="153"/>
      <c r="S105" s="154">
        <f t="shared" ref="S105" si="303">R105*15</f>
        <v>0</v>
      </c>
      <c r="T105" s="153"/>
      <c r="U105" s="154">
        <f t="shared" ref="U105" si="304">T105*-15</f>
        <v>0</v>
      </c>
      <c r="V105" s="155">
        <f t="shared" ref="V105" si="305">IF(AND(R105=2),10,IF(R105=3,30,IF(R105=4,50,IF(R105=5,70,0))))</f>
        <v>0</v>
      </c>
      <c r="W105" s="156">
        <f t="shared" ref="W105" si="306">IF(G105="x",H105+J105+L105+N105+O105+P105+Q105+S105+U105+V105,0)</f>
        <v>0</v>
      </c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4</v>
      </c>
      <c r="D106" s="21" t="str">
        <f>Spieltag!B93</f>
        <v>Diogo Leite (A)</v>
      </c>
      <c r="E106" s="151" t="str">
        <f>Spieltag!C93</f>
        <v>Abwehr</v>
      </c>
      <c r="F106" s="152" t="s">
        <v>180</v>
      </c>
      <c r="G106" s="153"/>
      <c r="H106" s="154">
        <f t="shared" ref="H106:H113" si="307">IF(G106="x",10,0)</f>
        <v>0</v>
      </c>
      <c r="I106" s="153"/>
      <c r="J106" s="154">
        <f t="shared" ref="J106:J113" si="308">IF((I106="x"),-10,0)</f>
        <v>0</v>
      </c>
      <c r="K106" s="153"/>
      <c r="L106" s="154">
        <f t="shared" ref="L106:L113" si="309">IF((K106="x"),-20,0)</f>
        <v>0</v>
      </c>
      <c r="M106" s="153"/>
      <c r="N106" s="154">
        <f t="shared" ref="N106:N113" si="310">IF((M106="x"),-30,0)</f>
        <v>0</v>
      </c>
      <c r="O106" s="155">
        <f t="shared" si="279"/>
        <v>0</v>
      </c>
      <c r="P106" s="155">
        <f t="shared" si="280"/>
        <v>-5</v>
      </c>
      <c r="Q106" s="155">
        <f t="shared" si="302"/>
        <v>-10</v>
      </c>
      <c r="R106" s="153"/>
      <c r="S106" s="154">
        <f t="shared" ref="S106:S113" si="311">R106*15</f>
        <v>0</v>
      </c>
      <c r="T106" s="153"/>
      <c r="U106" s="154">
        <f t="shared" ref="U106:U113" si="312">T106*-15</f>
        <v>0</v>
      </c>
      <c r="V106" s="155">
        <f t="shared" ref="V106:V113" si="313">IF(AND(R106=2),10,IF(R106=3,30,IF(R106=4,50,IF(R106=5,70,0))))</f>
        <v>0</v>
      </c>
      <c r="W106" s="156">
        <f t="shared" ref="W106:W113" si="314"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5</v>
      </c>
      <c r="D107" s="21" t="str">
        <f>Spieltag!B94</f>
        <v>Danilho Doekhi (A)</v>
      </c>
      <c r="E107" s="151" t="str">
        <f>Spieltag!C94</f>
        <v>Abwehr</v>
      </c>
      <c r="F107" s="152" t="s">
        <v>180</v>
      </c>
      <c r="G107" s="153"/>
      <c r="H107" s="154">
        <f t="shared" si="307"/>
        <v>0</v>
      </c>
      <c r="I107" s="153"/>
      <c r="J107" s="154">
        <f t="shared" si="308"/>
        <v>0</v>
      </c>
      <c r="K107" s="153"/>
      <c r="L107" s="154">
        <f t="shared" si="309"/>
        <v>0</v>
      </c>
      <c r="M107" s="153"/>
      <c r="N107" s="154">
        <f t="shared" si="310"/>
        <v>0</v>
      </c>
      <c r="O107" s="155">
        <f t="shared" si="279"/>
        <v>0</v>
      </c>
      <c r="P107" s="155">
        <f t="shared" si="280"/>
        <v>-5</v>
      </c>
      <c r="Q107" s="155">
        <f t="shared" si="302"/>
        <v>-10</v>
      </c>
      <c r="R107" s="153"/>
      <c r="S107" s="154">
        <f t="shared" si="311"/>
        <v>0</v>
      </c>
      <c r="T107" s="153"/>
      <c r="U107" s="154">
        <f t="shared" si="312"/>
        <v>0</v>
      </c>
      <c r="V107" s="155">
        <f t="shared" si="313"/>
        <v>0</v>
      </c>
      <c r="W107" s="156">
        <f t="shared" si="314"/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6</v>
      </c>
      <c r="D108" s="21" t="str">
        <f>Spieltag!B95</f>
        <v>Robin Gosens</v>
      </c>
      <c r="E108" s="151" t="str">
        <f>Spieltag!C95</f>
        <v>Abwehr</v>
      </c>
      <c r="F108" s="152" t="s">
        <v>180</v>
      </c>
      <c r="G108" s="153"/>
      <c r="H108" s="154">
        <f t="shared" ref="H108" si="315">IF(G108="x",10,0)</f>
        <v>0</v>
      </c>
      <c r="I108" s="153"/>
      <c r="J108" s="154">
        <f t="shared" ref="J108" si="316">IF((I108="x"),-10,0)</f>
        <v>0</v>
      </c>
      <c r="K108" s="153"/>
      <c r="L108" s="154">
        <f t="shared" ref="L108" si="317">IF((K108="x"),-20,0)</f>
        <v>0</v>
      </c>
      <c r="M108" s="153"/>
      <c r="N108" s="154">
        <f t="shared" ref="N108" si="318">IF((M108="x"),-30,0)</f>
        <v>0</v>
      </c>
      <c r="O108" s="155">
        <f t="shared" si="279"/>
        <v>0</v>
      </c>
      <c r="P108" s="155">
        <f t="shared" si="280"/>
        <v>-5</v>
      </c>
      <c r="Q108" s="155">
        <f t="shared" si="302"/>
        <v>-10</v>
      </c>
      <c r="R108" s="153"/>
      <c r="S108" s="154">
        <f t="shared" ref="S108" si="319">R108*15</f>
        <v>0</v>
      </c>
      <c r="T108" s="153"/>
      <c r="U108" s="154">
        <f t="shared" ref="U108" si="320">T108*-15</f>
        <v>0</v>
      </c>
      <c r="V108" s="155">
        <f t="shared" ref="V108" si="321">IF(AND(R108=2),10,IF(R108=3,30,IF(R108=4,50,IF(R108=5,70,0))))</f>
        <v>0</v>
      </c>
      <c r="W108" s="156">
        <f t="shared" ref="W108" si="322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18</v>
      </c>
      <c r="D109" s="21" t="str">
        <f>Spieltag!B96</f>
        <v>Josip Juranovic (A)</v>
      </c>
      <c r="E109" s="151" t="str">
        <f>Spieltag!C96</f>
        <v>Abwehr</v>
      </c>
      <c r="F109" s="152" t="s">
        <v>180</v>
      </c>
      <c r="G109" s="153"/>
      <c r="H109" s="154">
        <f t="shared" si="307"/>
        <v>0</v>
      </c>
      <c r="I109" s="153"/>
      <c r="J109" s="154">
        <f t="shared" si="308"/>
        <v>0</v>
      </c>
      <c r="K109" s="153"/>
      <c r="L109" s="154">
        <f t="shared" si="309"/>
        <v>0</v>
      </c>
      <c r="M109" s="153"/>
      <c r="N109" s="154">
        <f t="shared" si="310"/>
        <v>0</v>
      </c>
      <c r="O109" s="155">
        <f t="shared" si="279"/>
        <v>0</v>
      </c>
      <c r="P109" s="155">
        <f t="shared" si="280"/>
        <v>-5</v>
      </c>
      <c r="Q109" s="155">
        <f t="shared" si="302"/>
        <v>-10</v>
      </c>
      <c r="R109" s="153"/>
      <c r="S109" s="154">
        <f t="shared" si="311"/>
        <v>0</v>
      </c>
      <c r="T109" s="153"/>
      <c r="U109" s="154">
        <f t="shared" si="312"/>
        <v>0</v>
      </c>
      <c r="V109" s="155">
        <f t="shared" si="313"/>
        <v>0</v>
      </c>
      <c r="W109" s="156">
        <f t="shared" si="31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23</v>
      </c>
      <c r="D110" s="21" t="str">
        <f>Spieltag!B97</f>
        <v>Leonardo Bonucci (A)</v>
      </c>
      <c r="E110" s="151" t="str">
        <f>Spieltag!C97</f>
        <v>Abwehr</v>
      </c>
      <c r="F110" s="152" t="s">
        <v>180</v>
      </c>
      <c r="G110" s="153"/>
      <c r="H110" s="154">
        <f t="shared" ref="H110" si="323">IF(G110="x",10,0)</f>
        <v>0</v>
      </c>
      <c r="I110" s="153"/>
      <c r="J110" s="154">
        <f t="shared" ref="J110" si="324">IF((I110="x"),-10,0)</f>
        <v>0</v>
      </c>
      <c r="K110" s="153"/>
      <c r="L110" s="154">
        <f t="shared" ref="L110" si="325">IF((K110="x"),-20,0)</f>
        <v>0</v>
      </c>
      <c r="M110" s="153"/>
      <c r="N110" s="154">
        <f t="shared" ref="N110" si="326">IF((M110="x"),-30,0)</f>
        <v>0</v>
      </c>
      <c r="O110" s="155">
        <f t="shared" si="279"/>
        <v>0</v>
      </c>
      <c r="P110" s="155">
        <f t="shared" si="280"/>
        <v>-5</v>
      </c>
      <c r="Q110" s="155">
        <f t="shared" si="302"/>
        <v>-10</v>
      </c>
      <c r="R110" s="153"/>
      <c r="S110" s="154">
        <f t="shared" ref="S110" si="327">R110*15</f>
        <v>0</v>
      </c>
      <c r="T110" s="153"/>
      <c r="U110" s="154">
        <f t="shared" ref="U110" si="328">T110*-15</f>
        <v>0</v>
      </c>
      <c r="V110" s="155">
        <f t="shared" ref="V110" si="329">IF(AND(R110=2),10,IF(R110=3,30,IF(R110=4,50,IF(R110=5,70,0))))</f>
        <v>0</v>
      </c>
      <c r="W110" s="156">
        <f t="shared" ref="W110" si="330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26</v>
      </c>
      <c r="D111" s="21" t="str">
        <f>Spieltag!B98</f>
        <v>Jerome Roussillon (A)</v>
      </c>
      <c r="E111" s="151" t="str">
        <f>Spieltag!C98</f>
        <v>Abwehr</v>
      </c>
      <c r="F111" s="152" t="s">
        <v>180</v>
      </c>
      <c r="G111" s="153"/>
      <c r="H111" s="154">
        <f t="shared" si="307"/>
        <v>0</v>
      </c>
      <c r="I111" s="153"/>
      <c r="J111" s="154">
        <f t="shared" si="308"/>
        <v>0</v>
      </c>
      <c r="K111" s="153"/>
      <c r="L111" s="154">
        <f t="shared" si="309"/>
        <v>0</v>
      </c>
      <c r="M111" s="153"/>
      <c r="N111" s="154">
        <f t="shared" si="310"/>
        <v>0</v>
      </c>
      <c r="O111" s="155">
        <f t="shared" si="279"/>
        <v>0</v>
      </c>
      <c r="P111" s="155">
        <f t="shared" si="280"/>
        <v>-5</v>
      </c>
      <c r="Q111" s="155">
        <f t="shared" si="302"/>
        <v>-10</v>
      </c>
      <c r="R111" s="153"/>
      <c r="S111" s="154">
        <f t="shared" si="311"/>
        <v>0</v>
      </c>
      <c r="T111" s="153"/>
      <c r="U111" s="154">
        <f t="shared" si="312"/>
        <v>0</v>
      </c>
      <c r="V111" s="155">
        <f t="shared" si="313"/>
        <v>0</v>
      </c>
      <c r="W111" s="156">
        <f t="shared" si="314"/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28</v>
      </c>
      <c r="D112" s="21" t="str">
        <f>Spieltag!B99</f>
        <v>Christopher Trimmel (A)</v>
      </c>
      <c r="E112" s="151" t="str">
        <f>Spieltag!C99</f>
        <v>Abwehr</v>
      </c>
      <c r="F112" s="152" t="s">
        <v>180</v>
      </c>
      <c r="G112" s="153"/>
      <c r="H112" s="154">
        <f t="shared" si="307"/>
        <v>0</v>
      </c>
      <c r="I112" s="153"/>
      <c r="J112" s="154">
        <f t="shared" si="308"/>
        <v>0</v>
      </c>
      <c r="K112" s="153"/>
      <c r="L112" s="154">
        <f t="shared" si="309"/>
        <v>0</v>
      </c>
      <c r="M112" s="153"/>
      <c r="N112" s="154">
        <f t="shared" si="310"/>
        <v>0</v>
      </c>
      <c r="O112" s="155">
        <f t="shared" si="279"/>
        <v>0</v>
      </c>
      <c r="P112" s="155">
        <f t="shared" si="280"/>
        <v>-5</v>
      </c>
      <c r="Q112" s="155">
        <f t="shared" si="302"/>
        <v>-10</v>
      </c>
      <c r="R112" s="153"/>
      <c r="S112" s="154">
        <f t="shared" si="311"/>
        <v>0</v>
      </c>
      <c r="T112" s="153"/>
      <c r="U112" s="154">
        <f t="shared" si="312"/>
        <v>0</v>
      </c>
      <c r="V112" s="155">
        <f t="shared" si="313"/>
        <v>0</v>
      </c>
      <c r="W112" s="156">
        <f t="shared" si="314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31</v>
      </c>
      <c r="D113" s="21" t="str">
        <f>Spieltag!B100</f>
        <v>Robin Knoche</v>
      </c>
      <c r="E113" s="151" t="str">
        <f>Spieltag!C100</f>
        <v>Abwehr</v>
      </c>
      <c r="F113" s="152" t="s">
        <v>180</v>
      </c>
      <c r="G113" s="153"/>
      <c r="H113" s="154">
        <f t="shared" si="307"/>
        <v>0</v>
      </c>
      <c r="I113" s="153"/>
      <c r="J113" s="154">
        <f t="shared" si="308"/>
        <v>0</v>
      </c>
      <c r="K113" s="153"/>
      <c r="L113" s="154">
        <f t="shared" si="309"/>
        <v>0</v>
      </c>
      <c r="M113" s="153"/>
      <c r="N113" s="154">
        <f t="shared" si="310"/>
        <v>0</v>
      </c>
      <c r="O113" s="155">
        <f t="shared" si="279"/>
        <v>0</v>
      </c>
      <c r="P113" s="155">
        <f t="shared" si="280"/>
        <v>-5</v>
      </c>
      <c r="Q113" s="155">
        <f t="shared" si="302"/>
        <v>-10</v>
      </c>
      <c r="R113" s="153"/>
      <c r="S113" s="154">
        <f t="shared" si="311"/>
        <v>0</v>
      </c>
      <c r="T113" s="153"/>
      <c r="U113" s="154">
        <f t="shared" si="312"/>
        <v>0</v>
      </c>
      <c r="V113" s="155">
        <f t="shared" si="313"/>
        <v>0</v>
      </c>
      <c r="W113" s="156">
        <f t="shared" si="31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7</v>
      </c>
      <c r="D114" s="21" t="str">
        <f>Spieltag!B101</f>
        <v>Brendon Aaronson (A)</v>
      </c>
      <c r="E114" s="151" t="str">
        <f>Spieltag!C101</f>
        <v>Mittelfeld</v>
      </c>
      <c r="F114" s="152" t="s">
        <v>180</v>
      </c>
      <c r="G114" s="153"/>
      <c r="H114" s="154">
        <f t="shared" ref="H114" si="331">IF(G114="x",10,0)</f>
        <v>0</v>
      </c>
      <c r="I114" s="153"/>
      <c r="J114" s="154">
        <f t="shared" ref="J114" si="332">IF((I114="x"),-10,0)</f>
        <v>0</v>
      </c>
      <c r="K114" s="153"/>
      <c r="L114" s="154">
        <f t="shared" ref="L114" si="333">IF((K114="x"),-20,0)</f>
        <v>0</v>
      </c>
      <c r="M114" s="153"/>
      <c r="N114" s="154">
        <f t="shared" ref="N114" si="334">IF((M114="x"),-30,0)</f>
        <v>0</v>
      </c>
      <c r="O114" s="155">
        <f t="shared" si="279"/>
        <v>0</v>
      </c>
      <c r="P114" s="155">
        <f t="shared" si="280"/>
        <v>-5</v>
      </c>
      <c r="Q114" s="155">
        <f t="shared" ref="Q114:Q122" si="335">IF(($W$4&lt;&gt;0),$W$4*-10,10)</f>
        <v>-10</v>
      </c>
      <c r="R114" s="153"/>
      <c r="S114" s="154">
        <f t="shared" ref="S114" si="336">R114*10</f>
        <v>0</v>
      </c>
      <c r="T114" s="153"/>
      <c r="U114" s="154">
        <f t="shared" ref="U114" si="337">T114*-15</f>
        <v>0</v>
      </c>
      <c r="V114" s="155">
        <f t="shared" ref="V114" si="338">IF(AND(R114=2),10,IF(R114=3,30,IF(R114=4,50,IF(R114=5,70,0))))</f>
        <v>0</v>
      </c>
      <c r="W114" s="156">
        <f t="shared" ref="W114" si="339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8</v>
      </c>
      <c r="D115" s="21" t="str">
        <f>Spieltag!B102</f>
        <v>Rani Khedira</v>
      </c>
      <c r="E115" s="151" t="str">
        <f>Spieltag!C102</f>
        <v>Mittelfeld</v>
      </c>
      <c r="F115" s="152" t="s">
        <v>180</v>
      </c>
      <c r="G115" s="153"/>
      <c r="H115" s="154">
        <f t="shared" ref="H115:H122" si="340">IF(G115="x",10,0)</f>
        <v>0</v>
      </c>
      <c r="I115" s="153"/>
      <c r="J115" s="154">
        <f t="shared" ref="J115:J122" si="341">IF((I115="x"),-10,0)</f>
        <v>0</v>
      </c>
      <c r="K115" s="153"/>
      <c r="L115" s="154">
        <f t="shared" ref="L115:L122" si="342">IF((K115="x"),-20,0)</f>
        <v>0</v>
      </c>
      <c r="M115" s="153"/>
      <c r="N115" s="154">
        <f t="shared" ref="N115:N122" si="343">IF((M115="x"),-30,0)</f>
        <v>0</v>
      </c>
      <c r="O115" s="155">
        <f t="shared" si="279"/>
        <v>0</v>
      </c>
      <c r="P115" s="155">
        <f t="shared" si="280"/>
        <v>-5</v>
      </c>
      <c r="Q115" s="155">
        <f t="shared" si="335"/>
        <v>-10</v>
      </c>
      <c r="R115" s="153"/>
      <c r="S115" s="154">
        <f t="shared" ref="S115:S122" si="344">R115*10</f>
        <v>0</v>
      </c>
      <c r="T115" s="153"/>
      <c r="U115" s="154">
        <f t="shared" ref="U115:U122" si="345">T115*-15</f>
        <v>0</v>
      </c>
      <c r="V115" s="155">
        <f t="shared" ref="V115:V122" si="346">IF(AND(R115=2),10,IF(R115=3,30,IF(R115=4,50,IF(R115=5,70,0))))</f>
        <v>0</v>
      </c>
      <c r="W115" s="156">
        <f t="shared" ref="W115:W122" si="347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13</v>
      </c>
      <c r="D116" s="21" t="str">
        <f>Spieltag!B103</f>
        <v>András Schäfer (A)</v>
      </c>
      <c r="E116" s="151" t="str">
        <f>Spieltag!C103</f>
        <v>Mittelfeld</v>
      </c>
      <c r="F116" s="152" t="s">
        <v>180</v>
      </c>
      <c r="G116" s="153"/>
      <c r="H116" s="154">
        <f t="shared" si="340"/>
        <v>0</v>
      </c>
      <c r="I116" s="153"/>
      <c r="J116" s="154">
        <f t="shared" si="341"/>
        <v>0</v>
      </c>
      <c r="K116" s="153"/>
      <c r="L116" s="154">
        <f t="shared" si="342"/>
        <v>0</v>
      </c>
      <c r="M116" s="153"/>
      <c r="N116" s="154">
        <f t="shared" si="343"/>
        <v>0</v>
      </c>
      <c r="O116" s="155">
        <f t="shared" si="279"/>
        <v>0</v>
      </c>
      <c r="P116" s="155">
        <f t="shared" si="280"/>
        <v>-5</v>
      </c>
      <c r="Q116" s="155">
        <f t="shared" si="335"/>
        <v>-10</v>
      </c>
      <c r="R116" s="153"/>
      <c r="S116" s="154">
        <f t="shared" si="344"/>
        <v>0</v>
      </c>
      <c r="T116" s="153"/>
      <c r="U116" s="154">
        <f t="shared" si="345"/>
        <v>0</v>
      </c>
      <c r="V116" s="155">
        <f t="shared" si="346"/>
        <v>0</v>
      </c>
      <c r="W116" s="156">
        <f t="shared" si="34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19</v>
      </c>
      <c r="D117" s="21" t="str">
        <f>Spieltag!B104</f>
        <v>Janik Haberer</v>
      </c>
      <c r="E117" s="151" t="str">
        <f>Spieltag!C104</f>
        <v>Mittelfeld</v>
      </c>
      <c r="F117" s="152" t="s">
        <v>180</v>
      </c>
      <c r="G117" s="153"/>
      <c r="H117" s="154">
        <f t="shared" si="340"/>
        <v>0</v>
      </c>
      <c r="I117" s="153"/>
      <c r="J117" s="154">
        <f t="shared" si="341"/>
        <v>0</v>
      </c>
      <c r="K117" s="153"/>
      <c r="L117" s="154">
        <f t="shared" si="342"/>
        <v>0</v>
      </c>
      <c r="M117" s="153"/>
      <c r="N117" s="154">
        <f t="shared" si="343"/>
        <v>0</v>
      </c>
      <c r="O117" s="155">
        <f t="shared" si="279"/>
        <v>0</v>
      </c>
      <c r="P117" s="155">
        <f t="shared" si="280"/>
        <v>-5</v>
      </c>
      <c r="Q117" s="155">
        <f t="shared" si="335"/>
        <v>-10</v>
      </c>
      <c r="R117" s="153"/>
      <c r="S117" s="154">
        <f t="shared" si="344"/>
        <v>0</v>
      </c>
      <c r="T117" s="153"/>
      <c r="U117" s="154">
        <f t="shared" si="345"/>
        <v>0</v>
      </c>
      <c r="V117" s="155">
        <f t="shared" si="346"/>
        <v>0</v>
      </c>
      <c r="W117" s="156">
        <f t="shared" si="347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20</v>
      </c>
      <c r="D118" s="21" t="str">
        <f>Spieltag!B105</f>
        <v>Aissa Laidouni (A)</v>
      </c>
      <c r="E118" s="151" t="str">
        <f>Spieltag!C105</f>
        <v>Mittelfeld</v>
      </c>
      <c r="F118" s="152" t="s">
        <v>180</v>
      </c>
      <c r="G118" s="153"/>
      <c r="H118" s="154">
        <f t="shared" si="340"/>
        <v>0</v>
      </c>
      <c r="I118" s="153"/>
      <c r="J118" s="154">
        <f t="shared" si="341"/>
        <v>0</v>
      </c>
      <c r="K118" s="153"/>
      <c r="L118" s="154">
        <f t="shared" si="342"/>
        <v>0</v>
      </c>
      <c r="M118" s="153"/>
      <c r="N118" s="154">
        <f t="shared" si="343"/>
        <v>0</v>
      </c>
      <c r="O118" s="155">
        <f t="shared" si="279"/>
        <v>0</v>
      </c>
      <c r="P118" s="155">
        <f t="shared" si="280"/>
        <v>-5</v>
      </c>
      <c r="Q118" s="155">
        <f t="shared" si="335"/>
        <v>-10</v>
      </c>
      <c r="R118" s="153"/>
      <c r="S118" s="154">
        <f t="shared" si="344"/>
        <v>0</v>
      </c>
      <c r="T118" s="153"/>
      <c r="U118" s="154">
        <f t="shared" si="345"/>
        <v>0</v>
      </c>
      <c r="V118" s="155">
        <f t="shared" si="346"/>
        <v>0</v>
      </c>
      <c r="W118" s="156">
        <f t="shared" si="347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29</v>
      </c>
      <c r="D119" s="21" t="str">
        <f>Spieltag!B106</f>
        <v>Lucas Tousart (A)</v>
      </c>
      <c r="E119" s="151" t="str">
        <f>Spieltag!C106</f>
        <v>Mittelfeld</v>
      </c>
      <c r="F119" s="152" t="s">
        <v>180</v>
      </c>
      <c r="G119" s="153"/>
      <c r="H119" s="154">
        <f t="shared" si="340"/>
        <v>0</v>
      </c>
      <c r="I119" s="153"/>
      <c r="J119" s="154">
        <f t="shared" si="341"/>
        <v>0</v>
      </c>
      <c r="K119" s="153"/>
      <c r="L119" s="154">
        <f t="shared" si="342"/>
        <v>0</v>
      </c>
      <c r="M119" s="153"/>
      <c r="N119" s="154">
        <f t="shared" si="343"/>
        <v>0</v>
      </c>
      <c r="O119" s="155">
        <f t="shared" si="279"/>
        <v>0</v>
      </c>
      <c r="P119" s="155">
        <f t="shared" si="280"/>
        <v>-5</v>
      </c>
      <c r="Q119" s="155">
        <f t="shared" si="335"/>
        <v>-10</v>
      </c>
      <c r="R119" s="153"/>
      <c r="S119" s="154">
        <f t="shared" si="344"/>
        <v>0</v>
      </c>
      <c r="T119" s="153"/>
      <c r="U119" s="154">
        <f t="shared" si="345"/>
        <v>0</v>
      </c>
      <c r="V119" s="155">
        <f t="shared" si="346"/>
        <v>0</v>
      </c>
      <c r="W119" s="156">
        <f t="shared" si="34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33</v>
      </c>
      <c r="D120" s="21" t="str">
        <f>Spieltag!B107</f>
        <v>Alex Král (A)</v>
      </c>
      <c r="E120" s="151" t="str">
        <f>Spieltag!C107</f>
        <v>Mittelfeld</v>
      </c>
      <c r="F120" s="152" t="s">
        <v>180</v>
      </c>
      <c r="G120" s="153"/>
      <c r="H120" s="154">
        <f t="shared" si="340"/>
        <v>0</v>
      </c>
      <c r="I120" s="153"/>
      <c r="J120" s="154">
        <f t="shared" si="341"/>
        <v>0</v>
      </c>
      <c r="K120" s="153"/>
      <c r="L120" s="154">
        <f t="shared" si="342"/>
        <v>0</v>
      </c>
      <c r="M120" s="153"/>
      <c r="N120" s="154">
        <f t="shared" si="343"/>
        <v>0</v>
      </c>
      <c r="O120" s="155">
        <f t="shared" si="279"/>
        <v>0</v>
      </c>
      <c r="P120" s="155">
        <f t="shared" si="280"/>
        <v>-5</v>
      </c>
      <c r="Q120" s="155">
        <f t="shared" si="335"/>
        <v>-10</v>
      </c>
      <c r="R120" s="153"/>
      <c r="S120" s="154">
        <f t="shared" si="344"/>
        <v>0</v>
      </c>
      <c r="T120" s="153"/>
      <c r="U120" s="154">
        <f t="shared" si="345"/>
        <v>0</v>
      </c>
      <c r="V120" s="155">
        <f t="shared" si="346"/>
        <v>0</v>
      </c>
      <c r="W120" s="156">
        <f t="shared" si="347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36</v>
      </c>
      <c r="D121" s="21" t="str">
        <f>Spieltag!B108</f>
        <v>Aljoscha Kemlein</v>
      </c>
      <c r="E121" s="151" t="str">
        <f>Spieltag!C108</f>
        <v>Mittelfeld</v>
      </c>
      <c r="F121" s="152" t="s">
        <v>180</v>
      </c>
      <c r="G121" s="153"/>
      <c r="H121" s="154">
        <f t="shared" si="340"/>
        <v>0</v>
      </c>
      <c r="I121" s="153"/>
      <c r="J121" s="154">
        <f t="shared" si="341"/>
        <v>0</v>
      </c>
      <c r="K121" s="153"/>
      <c r="L121" s="154">
        <f t="shared" si="342"/>
        <v>0</v>
      </c>
      <c r="M121" s="153"/>
      <c r="N121" s="154">
        <f t="shared" si="343"/>
        <v>0</v>
      </c>
      <c r="O121" s="155">
        <f t="shared" si="279"/>
        <v>0</v>
      </c>
      <c r="P121" s="155">
        <f t="shared" si="280"/>
        <v>-5</v>
      </c>
      <c r="Q121" s="155">
        <f t="shared" si="335"/>
        <v>-10</v>
      </c>
      <c r="R121" s="153"/>
      <c r="S121" s="154">
        <f t="shared" si="344"/>
        <v>0</v>
      </c>
      <c r="T121" s="153"/>
      <c r="U121" s="154">
        <f t="shared" si="345"/>
        <v>0</v>
      </c>
      <c r="V121" s="155">
        <f t="shared" si="346"/>
        <v>0</v>
      </c>
      <c r="W121" s="156">
        <f t="shared" si="347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38</v>
      </c>
      <c r="D122" s="21" t="str">
        <f>Spieltag!B109</f>
        <v>Laurenz Dehl</v>
      </c>
      <c r="E122" s="151" t="str">
        <f>Spieltag!C109</f>
        <v>Mittelfeld</v>
      </c>
      <c r="F122" s="152" t="s">
        <v>180</v>
      </c>
      <c r="G122" s="153"/>
      <c r="H122" s="154">
        <f t="shared" si="340"/>
        <v>0</v>
      </c>
      <c r="I122" s="153"/>
      <c r="J122" s="154">
        <f t="shared" si="341"/>
        <v>0</v>
      </c>
      <c r="K122" s="153"/>
      <c r="L122" s="154">
        <f t="shared" si="342"/>
        <v>0</v>
      </c>
      <c r="M122" s="153"/>
      <c r="N122" s="154">
        <f t="shared" si="343"/>
        <v>0</v>
      </c>
      <c r="O122" s="155">
        <f t="shared" si="279"/>
        <v>0</v>
      </c>
      <c r="P122" s="155">
        <f t="shared" si="280"/>
        <v>-5</v>
      </c>
      <c r="Q122" s="155">
        <f t="shared" si="335"/>
        <v>-10</v>
      </c>
      <c r="R122" s="153"/>
      <c r="S122" s="154">
        <f t="shared" si="344"/>
        <v>0</v>
      </c>
      <c r="T122" s="153"/>
      <c r="U122" s="154">
        <f t="shared" si="345"/>
        <v>0</v>
      </c>
      <c r="V122" s="155">
        <f t="shared" si="346"/>
        <v>0</v>
      </c>
      <c r="W122" s="156">
        <f t="shared" si="347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9</v>
      </c>
      <c r="D123" s="21" t="str">
        <f>Spieltag!B110</f>
        <v>Mikkel Kaufmann (A)</v>
      </c>
      <c r="E123" s="151" t="str">
        <f>Spieltag!C110</f>
        <v>Sturm</v>
      </c>
      <c r="F123" s="152" t="s">
        <v>180</v>
      </c>
      <c r="G123" s="153"/>
      <c r="H123" s="154">
        <f t="shared" ref="H123:H124" si="348">IF(G123="x",10,0)</f>
        <v>0</v>
      </c>
      <c r="I123" s="153"/>
      <c r="J123" s="154">
        <f t="shared" ref="J123:J124" si="349">IF((I123="x"),-10,0)</f>
        <v>0</v>
      </c>
      <c r="K123" s="153"/>
      <c r="L123" s="154">
        <f t="shared" ref="L123:L124" si="350">IF((K123="x"),-20,0)</f>
        <v>0</v>
      </c>
      <c r="M123" s="153"/>
      <c r="N123" s="154">
        <f t="shared" ref="N123:N124" si="351">IF((M123="x"),-30,0)</f>
        <v>0</v>
      </c>
      <c r="O123" s="155">
        <f t="shared" si="279"/>
        <v>0</v>
      </c>
      <c r="P123" s="155">
        <f t="shared" si="280"/>
        <v>-5</v>
      </c>
      <c r="Q123" s="155">
        <f t="shared" ref="Q123:Q128" si="352">IF(($W$4&lt;&gt;0),$W$4*-10,5)</f>
        <v>-10</v>
      </c>
      <c r="R123" s="153"/>
      <c r="S123" s="154">
        <f t="shared" ref="S123:S124" si="353">R123*10</f>
        <v>0</v>
      </c>
      <c r="T123" s="153"/>
      <c r="U123" s="154">
        <f t="shared" ref="U123:U124" si="354">T123*-15</f>
        <v>0</v>
      </c>
      <c r="V123" s="155">
        <f t="shared" ref="V123:V124" si="355">IF(AND(R123=2),10,IF(R123=3,30,IF(R123=4,50,IF(R123=5,70,0))))</f>
        <v>0</v>
      </c>
      <c r="W123" s="156">
        <f t="shared" ref="W123:W124" si="356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10</v>
      </c>
      <c r="D124" s="21" t="str">
        <f>Spieltag!B111</f>
        <v>Kevin Volland</v>
      </c>
      <c r="E124" s="151" t="str">
        <f>Spieltag!C111</f>
        <v>Sturm</v>
      </c>
      <c r="F124" s="152" t="s">
        <v>180</v>
      </c>
      <c r="G124" s="153"/>
      <c r="H124" s="154">
        <f t="shared" si="348"/>
        <v>0</v>
      </c>
      <c r="I124" s="153"/>
      <c r="J124" s="154">
        <f t="shared" si="349"/>
        <v>0</v>
      </c>
      <c r="K124" s="153"/>
      <c r="L124" s="154">
        <f t="shared" si="350"/>
        <v>0</v>
      </c>
      <c r="M124" s="153"/>
      <c r="N124" s="154">
        <f t="shared" si="351"/>
        <v>0</v>
      </c>
      <c r="O124" s="155">
        <f t="shared" si="279"/>
        <v>0</v>
      </c>
      <c r="P124" s="155">
        <f t="shared" si="280"/>
        <v>-5</v>
      </c>
      <c r="Q124" s="155">
        <f t="shared" si="352"/>
        <v>-10</v>
      </c>
      <c r="R124" s="153"/>
      <c r="S124" s="154">
        <f t="shared" si="353"/>
        <v>0</v>
      </c>
      <c r="T124" s="153"/>
      <c r="U124" s="154">
        <f t="shared" si="354"/>
        <v>0</v>
      </c>
      <c r="V124" s="155">
        <f t="shared" si="355"/>
        <v>0</v>
      </c>
      <c r="W124" s="156">
        <f t="shared" si="356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11</v>
      </c>
      <c r="D125" s="21" t="str">
        <f>Spieltag!B112</f>
        <v>David Datro Fofana (A)</v>
      </c>
      <c r="E125" s="151" t="str">
        <f>Spieltag!C112</f>
        <v>Sturm</v>
      </c>
      <c r="F125" s="152" t="s">
        <v>180</v>
      </c>
      <c r="G125" s="153"/>
      <c r="H125" s="154">
        <f t="shared" ref="H125:H128" si="357">IF(G125="x",10,0)</f>
        <v>0</v>
      </c>
      <c r="I125" s="153"/>
      <c r="J125" s="154">
        <f t="shared" ref="J125:J128" si="358">IF((I125="x"),-10,0)</f>
        <v>0</v>
      </c>
      <c r="K125" s="153"/>
      <c r="L125" s="154">
        <f t="shared" ref="L125:L128" si="359">IF((K125="x"),-20,0)</f>
        <v>0</v>
      </c>
      <c r="M125" s="153"/>
      <c r="N125" s="154">
        <f t="shared" ref="N125:N128" si="360">IF((M125="x"),-30,0)</f>
        <v>0</v>
      </c>
      <c r="O125" s="155">
        <f t="shared" si="279"/>
        <v>0</v>
      </c>
      <c r="P125" s="155">
        <f t="shared" si="280"/>
        <v>-5</v>
      </c>
      <c r="Q125" s="155">
        <f t="shared" si="352"/>
        <v>-10</v>
      </c>
      <c r="R125" s="153"/>
      <c r="S125" s="154">
        <f t="shared" ref="S125:S128" si="361">R125*10</f>
        <v>0</v>
      </c>
      <c r="T125" s="153"/>
      <c r="U125" s="154">
        <f t="shared" ref="U125:U128" si="362">T125*-15</f>
        <v>0</v>
      </c>
      <c r="V125" s="155">
        <f t="shared" ref="V125:V128" si="363">IF(AND(R125=2),10,IF(R125=3,30,IF(R125=4,50,IF(R125=5,70,0))))</f>
        <v>0</v>
      </c>
      <c r="W125" s="156">
        <f t="shared" ref="W125:W128" si="364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16</v>
      </c>
      <c r="D126" s="21" t="str">
        <f>Spieltag!B113</f>
        <v>Benedict Hollerbach</v>
      </c>
      <c r="E126" s="151" t="str">
        <f>Spieltag!C113</f>
        <v>Sturm</v>
      </c>
      <c r="F126" s="152" t="s">
        <v>180</v>
      </c>
      <c r="G126" s="153"/>
      <c r="H126" s="154">
        <f t="shared" si="357"/>
        <v>0</v>
      </c>
      <c r="I126" s="153"/>
      <c r="J126" s="154">
        <f t="shared" si="358"/>
        <v>0</v>
      </c>
      <c r="K126" s="153"/>
      <c r="L126" s="154">
        <f t="shared" si="359"/>
        <v>0</v>
      </c>
      <c r="M126" s="153"/>
      <c r="N126" s="154">
        <f t="shared" si="360"/>
        <v>0</v>
      </c>
      <c r="O126" s="155">
        <f t="shared" si="279"/>
        <v>0</v>
      </c>
      <c r="P126" s="155">
        <f t="shared" si="280"/>
        <v>-5</v>
      </c>
      <c r="Q126" s="155">
        <f t="shared" si="352"/>
        <v>-10</v>
      </c>
      <c r="R126" s="153"/>
      <c r="S126" s="154">
        <f t="shared" si="361"/>
        <v>0</v>
      </c>
      <c r="T126" s="153"/>
      <c r="U126" s="154">
        <f t="shared" si="362"/>
        <v>0</v>
      </c>
      <c r="V126" s="155">
        <f t="shared" si="363"/>
        <v>0</v>
      </c>
      <c r="W126" s="156">
        <f t="shared" si="364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17</v>
      </c>
      <c r="D127" s="21" t="str">
        <f>Spieltag!B114</f>
        <v>Kevin Behrens</v>
      </c>
      <c r="E127" s="151" t="str">
        <f>Spieltag!C114</f>
        <v>Sturm</v>
      </c>
      <c r="F127" s="152" t="s">
        <v>180</v>
      </c>
      <c r="G127" s="153"/>
      <c r="H127" s="154">
        <f t="shared" si="357"/>
        <v>0</v>
      </c>
      <c r="I127" s="153"/>
      <c r="J127" s="154">
        <f t="shared" si="358"/>
        <v>0</v>
      </c>
      <c r="K127" s="153"/>
      <c r="L127" s="154">
        <f t="shared" si="359"/>
        <v>0</v>
      </c>
      <c r="M127" s="153"/>
      <c r="N127" s="154">
        <f t="shared" si="360"/>
        <v>0</v>
      </c>
      <c r="O127" s="155">
        <f t="shared" si="279"/>
        <v>0</v>
      </c>
      <c r="P127" s="155">
        <f t="shared" si="280"/>
        <v>-5</v>
      </c>
      <c r="Q127" s="155">
        <f t="shared" si="352"/>
        <v>-10</v>
      </c>
      <c r="R127" s="153"/>
      <c r="S127" s="154">
        <f t="shared" si="361"/>
        <v>0</v>
      </c>
      <c r="T127" s="153"/>
      <c r="U127" s="154">
        <f t="shared" si="362"/>
        <v>0</v>
      </c>
      <c r="V127" s="155">
        <f t="shared" si="363"/>
        <v>0</v>
      </c>
      <c r="W127" s="156">
        <f t="shared" si="364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27</v>
      </c>
      <c r="D128" s="21" t="str">
        <f>Spieltag!B115</f>
        <v>Sheraldo Becker (A)</v>
      </c>
      <c r="E128" s="151" t="str">
        <f>Spieltag!C115</f>
        <v>Sturm</v>
      </c>
      <c r="F128" s="152" t="s">
        <v>180</v>
      </c>
      <c r="G128" s="153"/>
      <c r="H128" s="154">
        <f t="shared" si="357"/>
        <v>0</v>
      </c>
      <c r="I128" s="153"/>
      <c r="J128" s="154">
        <f t="shared" si="358"/>
        <v>0</v>
      </c>
      <c r="K128" s="153"/>
      <c r="L128" s="154">
        <f t="shared" si="359"/>
        <v>0</v>
      </c>
      <c r="M128" s="153"/>
      <c r="N128" s="154">
        <f t="shared" si="360"/>
        <v>0</v>
      </c>
      <c r="O128" s="155">
        <f t="shared" si="279"/>
        <v>0</v>
      </c>
      <c r="P128" s="155">
        <f t="shared" si="280"/>
        <v>-5</v>
      </c>
      <c r="Q128" s="155">
        <f t="shared" si="352"/>
        <v>-10</v>
      </c>
      <c r="R128" s="153"/>
      <c r="S128" s="154">
        <f t="shared" si="361"/>
        <v>0</v>
      </c>
      <c r="T128" s="153"/>
      <c r="U128" s="154">
        <f t="shared" si="362"/>
        <v>0</v>
      </c>
      <c r="V128" s="155">
        <f t="shared" si="363"/>
        <v>0</v>
      </c>
      <c r="W128" s="156">
        <f t="shared" si="364"/>
        <v>0</v>
      </c>
    </row>
    <row r="129" spans="1:23" s="144" customFormat="1" ht="17.25" thickBot="1" x14ac:dyDescent="0.25">
      <c r="A129" s="142"/>
      <c r="B129" s="143">
        <f>SUM(B130:B157)</f>
        <v>4</v>
      </c>
      <c r="C129" s="158"/>
      <c r="D129" s="234" t="s">
        <v>129</v>
      </c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5"/>
    </row>
    <row r="130" spans="1:23" ht="10.5" customHeight="1" x14ac:dyDescent="0.2">
      <c r="A130" s="11"/>
      <c r="B130" s="150">
        <f>COUNTA(Spieltag!K117:AA117)</f>
        <v>0</v>
      </c>
      <c r="C130" s="166">
        <f>Spieltag!A117</f>
        <v>1</v>
      </c>
      <c r="D130" s="21" t="str">
        <f>Spieltag!B117</f>
        <v>Noah Atubolu</v>
      </c>
      <c r="E130" s="151" t="str">
        <f>Spieltag!C117</f>
        <v>Torwart</v>
      </c>
      <c r="F130" s="152" t="s">
        <v>87</v>
      </c>
      <c r="G130" s="153" t="s">
        <v>661</v>
      </c>
      <c r="H130" s="154">
        <f t="shared" ref="H130" si="365">IF(G130="x",10,0)</f>
        <v>10</v>
      </c>
      <c r="I130" s="153"/>
      <c r="J130" s="154">
        <f t="shared" ref="J130" si="366">IF((I130="x"),-10,0)</f>
        <v>0</v>
      </c>
      <c r="K130" s="153"/>
      <c r="L130" s="154">
        <f t="shared" ref="L130" si="367">IF((K130="x"),-20,0)</f>
        <v>0</v>
      </c>
      <c r="M130" s="153"/>
      <c r="N130" s="154">
        <f t="shared" ref="N130" si="368">IF((M130="x"),-30,0)</f>
        <v>0</v>
      </c>
      <c r="O130" s="155">
        <f>IF(AND($V$8&gt;$W$8),20,IF($V$8=$W$8,10,0))</f>
        <v>20</v>
      </c>
      <c r="P130" s="155">
        <f>IF(($V$8&lt;&gt;0),$V$8*10,-5)</f>
        <v>10</v>
      </c>
      <c r="Q130" s="155">
        <f>IF(($W$8&lt;&gt;0),$W$8*-10,20)</f>
        <v>20</v>
      </c>
      <c r="R130" s="153"/>
      <c r="S130" s="154">
        <f>R130*20</f>
        <v>0</v>
      </c>
      <c r="T130" s="153"/>
      <c r="U130" s="154">
        <f t="shared" ref="U130" si="369">T130*-15</f>
        <v>0</v>
      </c>
      <c r="V130" s="155">
        <f t="shared" ref="V130" si="370">IF(AND(R130=2),10,IF(R130=3,30,IF(R130=4,50,IF(R130=5,70,0))))</f>
        <v>0</v>
      </c>
      <c r="W130" s="156">
        <f t="shared" ref="W130" si="371">IF(G130="x",H130+J130+L130+N130+O130+P130+Q130+S130+U130+V130,0)</f>
        <v>60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21</v>
      </c>
      <c r="D131" s="21" t="str">
        <f>Spieltag!B118</f>
        <v>Florian Müller</v>
      </c>
      <c r="E131" s="151" t="str">
        <f>Spieltag!C118</f>
        <v>Torwart</v>
      </c>
      <c r="F131" s="152" t="s">
        <v>87</v>
      </c>
      <c r="G131" s="153"/>
      <c r="H131" s="154">
        <f t="shared" ref="H131:H132" si="372">IF(G131="x",10,0)</f>
        <v>0</v>
      </c>
      <c r="I131" s="153"/>
      <c r="J131" s="154">
        <f t="shared" ref="J131:J132" si="373">IF((I131="x"),-10,0)</f>
        <v>0</v>
      </c>
      <c r="K131" s="153"/>
      <c r="L131" s="154">
        <f t="shared" ref="L131:L132" si="374">IF((K131="x"),-20,0)</f>
        <v>0</v>
      </c>
      <c r="M131" s="153"/>
      <c r="N131" s="154">
        <f t="shared" ref="N131:N132" si="375">IF((M131="x"),-30,0)</f>
        <v>0</v>
      </c>
      <c r="O131" s="155">
        <f t="shared" ref="O131:O132" si="376">IF(AND($V$8&gt;$W$8),20,IF($V$8=$W$8,10,0))</f>
        <v>20</v>
      </c>
      <c r="P131" s="155">
        <f t="shared" ref="P131:P132" si="377">IF(($V$8&lt;&gt;0),$V$8*10,-5)</f>
        <v>10</v>
      </c>
      <c r="Q131" s="155">
        <f t="shared" ref="Q131:Q132" si="378">IF(($W$8&lt;&gt;0),$W$8*-10,20)</f>
        <v>20</v>
      </c>
      <c r="R131" s="153"/>
      <c r="S131" s="154">
        <f t="shared" ref="S131:S132" si="379">R131*20</f>
        <v>0</v>
      </c>
      <c r="T131" s="153"/>
      <c r="U131" s="154">
        <f t="shared" ref="U131:U132" si="380">T131*-15</f>
        <v>0</v>
      </c>
      <c r="V131" s="155">
        <f t="shared" ref="V131:V132" si="381">IF(AND(R131=2),10,IF(R131=3,30,IF(R131=4,50,IF(R131=5,70,0))))</f>
        <v>0</v>
      </c>
      <c r="W131" s="156">
        <f t="shared" ref="W131:W132" si="38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31</v>
      </c>
      <c r="D132" s="21" t="str">
        <f>Spieltag!B119</f>
        <v>Benjamin Uphoff</v>
      </c>
      <c r="E132" s="151" t="str">
        <f>Spieltag!C119</f>
        <v>Torwart</v>
      </c>
      <c r="F132" s="152" t="s">
        <v>87</v>
      </c>
      <c r="G132" s="153"/>
      <c r="H132" s="154">
        <f t="shared" si="372"/>
        <v>0</v>
      </c>
      <c r="I132" s="153"/>
      <c r="J132" s="154">
        <f t="shared" si="373"/>
        <v>0</v>
      </c>
      <c r="K132" s="153"/>
      <c r="L132" s="154">
        <f t="shared" si="374"/>
        <v>0</v>
      </c>
      <c r="M132" s="153"/>
      <c r="N132" s="154">
        <f t="shared" si="375"/>
        <v>0</v>
      </c>
      <c r="O132" s="155">
        <f t="shared" si="376"/>
        <v>20</v>
      </c>
      <c r="P132" s="155">
        <f t="shared" si="377"/>
        <v>10</v>
      </c>
      <c r="Q132" s="155">
        <f t="shared" si="378"/>
        <v>20</v>
      </c>
      <c r="R132" s="153"/>
      <c r="S132" s="154">
        <f t="shared" si="379"/>
        <v>0</v>
      </c>
      <c r="T132" s="153"/>
      <c r="U132" s="154">
        <f t="shared" si="380"/>
        <v>0</v>
      </c>
      <c r="V132" s="155">
        <f t="shared" si="381"/>
        <v>0</v>
      </c>
      <c r="W132" s="156">
        <f t="shared" si="382"/>
        <v>0</v>
      </c>
    </row>
    <row r="133" spans="1:23" ht="10.5" hidden="1" customHeight="1" x14ac:dyDescent="0.2">
      <c r="A133" s="11"/>
      <c r="B133" s="149">
        <f>COUNTA(Spieltag!K120:AA120)</f>
        <v>0</v>
      </c>
      <c r="C133" s="166">
        <f>Spieltag!A120</f>
        <v>3</v>
      </c>
      <c r="D133" s="21" t="str">
        <f>Spieltag!B120</f>
        <v>Philipp Lienhart (A)</v>
      </c>
      <c r="E133" s="12" t="str">
        <f>Spieltag!C120</f>
        <v>Abwehr</v>
      </c>
      <c r="F133" s="13" t="s">
        <v>87</v>
      </c>
      <c r="G133" s="14"/>
      <c r="H133" s="15">
        <f t="shared" ref="H133" si="383">IF(G133="x",10,0)</f>
        <v>0</v>
      </c>
      <c r="I133" s="14"/>
      <c r="J133" s="15">
        <f t="shared" ref="J133" si="384">IF((I133="x"),-10,0)</f>
        <v>0</v>
      </c>
      <c r="K133" s="14"/>
      <c r="L133" s="15">
        <f t="shared" ref="L133" si="385">IF((K133="x"),-20,0)</f>
        <v>0</v>
      </c>
      <c r="M133" s="14"/>
      <c r="N133" s="15">
        <f t="shared" ref="N133" si="386">IF((M133="x"),-30,0)</f>
        <v>0</v>
      </c>
      <c r="O133" s="16">
        <f t="shared" ref="O133:O157" si="387">IF(AND($V$8&gt;$W$8),20,IF($V$8=$W$8,10,0))</f>
        <v>20</v>
      </c>
      <c r="P133" s="16">
        <f t="shared" ref="P133:P157" si="388">IF(($V$8&lt;&gt;0),$V$8*10,-5)</f>
        <v>10</v>
      </c>
      <c r="Q133" s="16">
        <f t="shared" ref="Q133:Q141" si="389">IF(($W$8&lt;&gt;0),$W$8*-10,15)</f>
        <v>15</v>
      </c>
      <c r="R133" s="14"/>
      <c r="S133" s="15">
        <f t="shared" ref="S133" si="390">R133*15</f>
        <v>0</v>
      </c>
      <c r="T133" s="14"/>
      <c r="U133" s="15">
        <f t="shared" ref="U133" si="391">T133*-15</f>
        <v>0</v>
      </c>
      <c r="V133" s="16">
        <f t="shared" ref="V133" si="392">IF(AND(R133=2),10,IF(R133=3,30,IF(R133=4,50,IF(R133=5,70,0))))</f>
        <v>0</v>
      </c>
      <c r="W133" s="17">
        <f t="shared" ref="W133" si="393">IF(G133="x",H133+J133+L133+N133+O133+P133+Q133+S133+U133+V133,0)</f>
        <v>0</v>
      </c>
    </row>
    <row r="134" spans="1:23" ht="10.5" hidden="1" customHeight="1" x14ac:dyDescent="0.2">
      <c r="A134" s="11"/>
      <c r="B134" s="149">
        <f>COUNTA(Spieltag!K121:AA121)</f>
        <v>0</v>
      </c>
      <c r="C134" s="166">
        <f>Spieltag!A121</f>
        <v>4</v>
      </c>
      <c r="D134" s="21" t="str">
        <f>Spieltag!B121</f>
        <v>Kenneth Schmidt</v>
      </c>
      <c r="E134" s="12" t="str">
        <f>Spieltag!C121</f>
        <v>Abwehr</v>
      </c>
      <c r="F134" s="13" t="s">
        <v>87</v>
      </c>
      <c r="G134" s="14"/>
      <c r="H134" s="15">
        <f t="shared" ref="H134:H138" si="394">IF(G134="x",10,0)</f>
        <v>0</v>
      </c>
      <c r="I134" s="14"/>
      <c r="J134" s="15">
        <f t="shared" ref="J134:J138" si="395">IF((I134="x"),-10,0)</f>
        <v>0</v>
      </c>
      <c r="K134" s="14"/>
      <c r="L134" s="15">
        <f t="shared" ref="L134:L138" si="396">IF((K134="x"),-20,0)</f>
        <v>0</v>
      </c>
      <c r="M134" s="14"/>
      <c r="N134" s="15">
        <f t="shared" ref="N134:N138" si="397">IF((M134="x"),-30,0)</f>
        <v>0</v>
      </c>
      <c r="O134" s="16">
        <f t="shared" si="387"/>
        <v>20</v>
      </c>
      <c r="P134" s="16">
        <f t="shared" si="388"/>
        <v>10</v>
      </c>
      <c r="Q134" s="16">
        <f t="shared" si="389"/>
        <v>15</v>
      </c>
      <c r="R134" s="14"/>
      <c r="S134" s="15">
        <f t="shared" ref="S134:S138" si="398">R134*15</f>
        <v>0</v>
      </c>
      <c r="T134" s="14"/>
      <c r="U134" s="15">
        <f t="shared" ref="U134:U138" si="399">T134*-15</f>
        <v>0</v>
      </c>
      <c r="V134" s="16">
        <f t="shared" ref="V134:V138" si="400">IF(AND(R134=2),10,IF(R134=3,30,IF(R134=4,50,IF(R134=5,70,0))))</f>
        <v>0</v>
      </c>
      <c r="W134" s="17">
        <f t="shared" ref="W134:W138" si="401">IF(G134="x",H134+J134+L134+N134+O134+P134+Q134+S134+U134+V134,0)</f>
        <v>0</v>
      </c>
    </row>
    <row r="135" spans="1:23" ht="10.5" hidden="1" customHeight="1" x14ac:dyDescent="0.2">
      <c r="A135" s="11"/>
      <c r="B135" s="149">
        <f>COUNTA(Spieltag!K122:AA122)</f>
        <v>0</v>
      </c>
      <c r="C135" s="166">
        <f>Spieltag!A122</f>
        <v>5</v>
      </c>
      <c r="D135" s="21" t="str">
        <f>Spieltag!B122</f>
        <v>Manuel Gulde</v>
      </c>
      <c r="E135" s="12" t="str">
        <f>Spieltag!C122</f>
        <v>Abwehr</v>
      </c>
      <c r="F135" s="13" t="s">
        <v>87</v>
      </c>
      <c r="G135" s="14"/>
      <c r="H135" s="15">
        <f t="shared" si="394"/>
        <v>0</v>
      </c>
      <c r="I135" s="14"/>
      <c r="J135" s="15">
        <f t="shared" si="395"/>
        <v>0</v>
      </c>
      <c r="K135" s="14"/>
      <c r="L135" s="15">
        <f t="shared" si="396"/>
        <v>0</v>
      </c>
      <c r="M135" s="14"/>
      <c r="N135" s="15">
        <f t="shared" si="397"/>
        <v>0</v>
      </c>
      <c r="O135" s="16">
        <f t="shared" si="387"/>
        <v>20</v>
      </c>
      <c r="P135" s="16">
        <f t="shared" si="388"/>
        <v>10</v>
      </c>
      <c r="Q135" s="16">
        <f t="shared" si="389"/>
        <v>15</v>
      </c>
      <c r="R135" s="14"/>
      <c r="S135" s="15">
        <f t="shared" si="398"/>
        <v>0</v>
      </c>
      <c r="T135" s="14"/>
      <c r="U135" s="15">
        <f t="shared" si="399"/>
        <v>0</v>
      </c>
      <c r="V135" s="16">
        <f t="shared" si="400"/>
        <v>0</v>
      </c>
      <c r="W135" s="17">
        <f t="shared" si="401"/>
        <v>0</v>
      </c>
    </row>
    <row r="136" spans="1:23" ht="10.5" hidden="1" customHeight="1" x14ac:dyDescent="0.2">
      <c r="A136" s="11"/>
      <c r="B136" s="149">
        <f>COUNTA(Spieltag!K123:AA123)</f>
        <v>0</v>
      </c>
      <c r="C136" s="166">
        <f>Spieltag!A123</f>
        <v>17</v>
      </c>
      <c r="D136" s="21" t="str">
        <f>Spieltag!B123</f>
        <v>Lukas Kübler</v>
      </c>
      <c r="E136" s="12" t="str">
        <f>Spieltag!C123</f>
        <v>Abwehr</v>
      </c>
      <c r="F136" s="13" t="s">
        <v>87</v>
      </c>
      <c r="G136" s="14"/>
      <c r="H136" s="15">
        <f t="shared" si="394"/>
        <v>0</v>
      </c>
      <c r="I136" s="14"/>
      <c r="J136" s="15">
        <f t="shared" si="395"/>
        <v>0</v>
      </c>
      <c r="K136" s="14"/>
      <c r="L136" s="15">
        <f t="shared" si="396"/>
        <v>0</v>
      </c>
      <c r="M136" s="14"/>
      <c r="N136" s="15">
        <f t="shared" si="397"/>
        <v>0</v>
      </c>
      <c r="O136" s="16">
        <f t="shared" si="387"/>
        <v>20</v>
      </c>
      <c r="P136" s="16">
        <f t="shared" si="388"/>
        <v>10</v>
      </c>
      <c r="Q136" s="16">
        <f t="shared" si="389"/>
        <v>15</v>
      </c>
      <c r="R136" s="14"/>
      <c r="S136" s="15">
        <f t="shared" si="398"/>
        <v>0</v>
      </c>
      <c r="T136" s="14"/>
      <c r="U136" s="15">
        <f t="shared" si="399"/>
        <v>0</v>
      </c>
      <c r="V136" s="16">
        <f t="shared" si="400"/>
        <v>0</v>
      </c>
      <c r="W136" s="17">
        <f t="shared" si="401"/>
        <v>0</v>
      </c>
    </row>
    <row r="137" spans="1:23" ht="10.5" hidden="1" customHeight="1" x14ac:dyDescent="0.2">
      <c r="A137" s="11"/>
      <c r="B137" s="149">
        <f>COUNTA(Spieltag!K124:AA124)</f>
        <v>0</v>
      </c>
      <c r="C137" s="166">
        <f>Spieltag!A124</f>
        <v>25</v>
      </c>
      <c r="D137" s="21" t="str">
        <f>Spieltag!B124</f>
        <v>Kiliann Sildillia (A)</v>
      </c>
      <c r="E137" s="12" t="str">
        <f>Spieltag!C124</f>
        <v>Abwehr</v>
      </c>
      <c r="F137" s="13" t="s">
        <v>87</v>
      </c>
      <c r="G137" s="14"/>
      <c r="H137" s="15">
        <f t="shared" si="394"/>
        <v>0</v>
      </c>
      <c r="I137" s="14"/>
      <c r="J137" s="15">
        <f t="shared" si="395"/>
        <v>0</v>
      </c>
      <c r="K137" s="14"/>
      <c r="L137" s="15">
        <f t="shared" si="396"/>
        <v>0</v>
      </c>
      <c r="M137" s="14"/>
      <c r="N137" s="15">
        <f t="shared" si="397"/>
        <v>0</v>
      </c>
      <c r="O137" s="16">
        <f t="shared" si="387"/>
        <v>20</v>
      </c>
      <c r="P137" s="16">
        <f t="shared" si="388"/>
        <v>10</v>
      </c>
      <c r="Q137" s="16">
        <f t="shared" si="389"/>
        <v>15</v>
      </c>
      <c r="R137" s="14"/>
      <c r="S137" s="15">
        <f t="shared" si="398"/>
        <v>0</v>
      </c>
      <c r="T137" s="14"/>
      <c r="U137" s="15">
        <f t="shared" si="399"/>
        <v>0</v>
      </c>
      <c r="V137" s="16">
        <f t="shared" si="400"/>
        <v>0</v>
      </c>
      <c r="W137" s="17">
        <f t="shared" si="401"/>
        <v>0</v>
      </c>
    </row>
    <row r="138" spans="1:23" ht="10.5" customHeight="1" x14ac:dyDescent="0.2">
      <c r="A138" s="11"/>
      <c r="B138" s="149">
        <f>COUNTA(Spieltag!K125:AA125)</f>
        <v>2</v>
      </c>
      <c r="C138" s="166">
        <f>Spieltag!A125</f>
        <v>28</v>
      </c>
      <c r="D138" s="21" t="str">
        <f>Spieltag!B125</f>
        <v>Matthias Ginter</v>
      </c>
      <c r="E138" s="12" t="str">
        <f>Spieltag!C125</f>
        <v>Abwehr</v>
      </c>
      <c r="F138" s="13" t="s">
        <v>87</v>
      </c>
      <c r="G138" s="14" t="s">
        <v>661</v>
      </c>
      <c r="H138" s="15">
        <f t="shared" si="394"/>
        <v>10</v>
      </c>
      <c r="I138" s="14"/>
      <c r="J138" s="15">
        <f t="shared" si="395"/>
        <v>0</v>
      </c>
      <c r="K138" s="14"/>
      <c r="L138" s="15">
        <f t="shared" si="396"/>
        <v>0</v>
      </c>
      <c r="M138" s="14"/>
      <c r="N138" s="15">
        <f t="shared" si="397"/>
        <v>0</v>
      </c>
      <c r="O138" s="16">
        <f t="shared" si="387"/>
        <v>20</v>
      </c>
      <c r="P138" s="16">
        <f t="shared" si="388"/>
        <v>10</v>
      </c>
      <c r="Q138" s="16">
        <f t="shared" si="389"/>
        <v>15</v>
      </c>
      <c r="R138" s="14"/>
      <c r="S138" s="15">
        <f t="shared" si="398"/>
        <v>0</v>
      </c>
      <c r="T138" s="14"/>
      <c r="U138" s="15">
        <f t="shared" si="399"/>
        <v>0</v>
      </c>
      <c r="V138" s="16">
        <f t="shared" si="400"/>
        <v>0</v>
      </c>
      <c r="W138" s="17">
        <f t="shared" si="401"/>
        <v>55</v>
      </c>
    </row>
    <row r="139" spans="1:23" ht="10.5" hidden="1" customHeight="1" x14ac:dyDescent="0.2">
      <c r="A139" s="11"/>
      <c r="B139" s="149">
        <f>COUNTA(Spieltag!K126:AA126)</f>
        <v>0</v>
      </c>
      <c r="C139" s="166">
        <f>Spieltag!A126</f>
        <v>30</v>
      </c>
      <c r="D139" s="21" t="str">
        <f>Spieltag!B126</f>
        <v>Christian Günter</v>
      </c>
      <c r="E139" s="12" t="str">
        <f>Spieltag!C126</f>
        <v>Abwehr</v>
      </c>
      <c r="F139" s="13" t="s">
        <v>87</v>
      </c>
      <c r="G139" s="14"/>
      <c r="H139" s="15">
        <f t="shared" ref="H139:H141" si="402">IF(G139="x",10,0)</f>
        <v>0</v>
      </c>
      <c r="I139" s="14"/>
      <c r="J139" s="15">
        <f t="shared" ref="J139:J141" si="403">IF((I139="x"),-10,0)</f>
        <v>0</v>
      </c>
      <c r="K139" s="14"/>
      <c r="L139" s="15">
        <f t="shared" ref="L139:L141" si="404">IF((K139="x"),-20,0)</f>
        <v>0</v>
      </c>
      <c r="M139" s="14"/>
      <c r="N139" s="15">
        <f t="shared" ref="N139:N141" si="405">IF((M139="x"),-30,0)</f>
        <v>0</v>
      </c>
      <c r="O139" s="16">
        <f t="shared" si="387"/>
        <v>20</v>
      </c>
      <c r="P139" s="16">
        <f t="shared" si="388"/>
        <v>10</v>
      </c>
      <c r="Q139" s="16">
        <f t="shared" si="389"/>
        <v>15</v>
      </c>
      <c r="R139" s="14"/>
      <c r="S139" s="15">
        <f t="shared" ref="S139:S141" si="406">R139*15</f>
        <v>0</v>
      </c>
      <c r="T139" s="14"/>
      <c r="U139" s="15">
        <f t="shared" ref="U139:U141" si="407">T139*-15</f>
        <v>0</v>
      </c>
      <c r="V139" s="16">
        <f t="shared" ref="V139:V141" si="408">IF(AND(R139=2),10,IF(R139=3,30,IF(R139=4,50,IF(R139=5,70,0))))</f>
        <v>0</v>
      </c>
      <c r="W139" s="17">
        <f t="shared" ref="W139:W141" si="409">IF(G139="x",H139+J139+L139+N139+O139+P139+Q139+S139+U139+V139,0)</f>
        <v>0</v>
      </c>
    </row>
    <row r="140" spans="1:23" ht="10.5" hidden="1" customHeight="1" x14ac:dyDescent="0.2">
      <c r="A140" s="11"/>
      <c r="B140" s="149">
        <f>COUNTA(Spieltag!K127:AA127)</f>
        <v>0</v>
      </c>
      <c r="C140" s="166">
        <f>Spieltag!A127</f>
        <v>33</v>
      </c>
      <c r="D140" s="21" t="str">
        <f>Spieltag!B127</f>
        <v>Jordy Makengo (A)</v>
      </c>
      <c r="E140" s="12" t="str">
        <f>Spieltag!C127</f>
        <v>Abwehr</v>
      </c>
      <c r="F140" s="13" t="s">
        <v>87</v>
      </c>
      <c r="G140" s="14"/>
      <c r="H140" s="15">
        <f t="shared" si="402"/>
        <v>0</v>
      </c>
      <c r="I140" s="14"/>
      <c r="J140" s="15">
        <f t="shared" si="403"/>
        <v>0</v>
      </c>
      <c r="K140" s="14"/>
      <c r="L140" s="15">
        <f t="shared" si="404"/>
        <v>0</v>
      </c>
      <c r="M140" s="14"/>
      <c r="N140" s="15">
        <f t="shared" si="405"/>
        <v>0</v>
      </c>
      <c r="O140" s="16">
        <f t="shared" si="387"/>
        <v>20</v>
      </c>
      <c r="P140" s="16">
        <f t="shared" si="388"/>
        <v>10</v>
      </c>
      <c r="Q140" s="16">
        <f t="shared" si="389"/>
        <v>15</v>
      </c>
      <c r="R140" s="14"/>
      <c r="S140" s="15">
        <f t="shared" si="406"/>
        <v>0</v>
      </c>
      <c r="T140" s="14"/>
      <c r="U140" s="15">
        <f t="shared" si="407"/>
        <v>0</v>
      </c>
      <c r="V140" s="16">
        <f t="shared" si="408"/>
        <v>0</v>
      </c>
      <c r="W140" s="17">
        <f t="shared" si="409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37</v>
      </c>
      <c r="D141" s="21" t="str">
        <f>Spieltag!B128</f>
        <v>Max Rosenfelder</v>
      </c>
      <c r="E141" s="12" t="str">
        <f>Spieltag!C128</f>
        <v>Abwehr</v>
      </c>
      <c r="F141" s="13" t="s">
        <v>87</v>
      </c>
      <c r="G141" s="14"/>
      <c r="H141" s="15">
        <f t="shared" si="402"/>
        <v>0</v>
      </c>
      <c r="I141" s="14"/>
      <c r="J141" s="15">
        <f t="shared" si="403"/>
        <v>0</v>
      </c>
      <c r="K141" s="14"/>
      <c r="L141" s="15">
        <f t="shared" si="404"/>
        <v>0</v>
      </c>
      <c r="M141" s="14"/>
      <c r="N141" s="15">
        <f t="shared" si="405"/>
        <v>0</v>
      </c>
      <c r="O141" s="16">
        <f t="shared" si="387"/>
        <v>20</v>
      </c>
      <c r="P141" s="16">
        <f t="shared" si="388"/>
        <v>10</v>
      </c>
      <c r="Q141" s="16">
        <f t="shared" si="389"/>
        <v>15</v>
      </c>
      <c r="R141" s="14"/>
      <c r="S141" s="15">
        <f t="shared" si="406"/>
        <v>0</v>
      </c>
      <c r="T141" s="14"/>
      <c r="U141" s="15">
        <f t="shared" si="407"/>
        <v>0</v>
      </c>
      <c r="V141" s="16">
        <f t="shared" si="408"/>
        <v>0</v>
      </c>
      <c r="W141" s="17">
        <f t="shared" si="40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7</v>
      </c>
      <c r="D142" s="21" t="str">
        <f>Spieltag!B129</f>
        <v>Noah Weisshaupt</v>
      </c>
      <c r="E142" s="12" t="str">
        <f>Spieltag!C129</f>
        <v>Mittelfeld</v>
      </c>
      <c r="F142" s="13" t="s">
        <v>87</v>
      </c>
      <c r="G142" s="14"/>
      <c r="H142" s="15">
        <f t="shared" ref="H142" si="410">IF(G142="x",10,0)</f>
        <v>0</v>
      </c>
      <c r="I142" s="14"/>
      <c r="J142" s="15">
        <f t="shared" ref="J142" si="411">IF((I142="x"),-10,0)</f>
        <v>0</v>
      </c>
      <c r="K142" s="14"/>
      <c r="L142" s="15">
        <f t="shared" ref="L142" si="412">IF((K142="x"),-20,0)</f>
        <v>0</v>
      </c>
      <c r="M142" s="14"/>
      <c r="N142" s="15">
        <f t="shared" ref="N142" si="413">IF((M142="x"),-30,0)</f>
        <v>0</v>
      </c>
      <c r="O142" s="16">
        <f t="shared" si="387"/>
        <v>20</v>
      </c>
      <c r="P142" s="16">
        <f t="shared" si="388"/>
        <v>10</v>
      </c>
      <c r="Q142" s="16">
        <f t="shared" ref="Q142:Q152" si="414">IF(($W$8&lt;&gt;0),$W$8*-10,10)</f>
        <v>10</v>
      </c>
      <c r="R142" s="14"/>
      <c r="S142" s="15">
        <f t="shared" ref="S142" si="415">R142*10</f>
        <v>0</v>
      </c>
      <c r="T142" s="14"/>
      <c r="U142" s="15">
        <f t="shared" ref="U142" si="416">T142*-15</f>
        <v>0</v>
      </c>
      <c r="V142" s="16">
        <f t="shared" ref="V142" si="417">IF(AND(R142=2),10,IF(R142=3,30,IF(R142=4,50,IF(R142=5,70,0))))</f>
        <v>0</v>
      </c>
      <c r="W142" s="17">
        <f t="shared" ref="W142" si="41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8</v>
      </c>
      <c r="D143" s="21" t="str">
        <f>Spieltag!B130</f>
        <v>Maximilian Eggestein</v>
      </c>
      <c r="E143" s="12" t="str">
        <f>Spieltag!C130</f>
        <v>Mittelfeld</v>
      </c>
      <c r="F143" s="13" t="s">
        <v>87</v>
      </c>
      <c r="G143" s="14"/>
      <c r="H143" s="15">
        <f t="shared" ref="H143:H152" si="419">IF(G143="x",10,0)</f>
        <v>0</v>
      </c>
      <c r="I143" s="14"/>
      <c r="J143" s="15">
        <f t="shared" ref="J143:J152" si="420">IF((I143="x"),-10,0)</f>
        <v>0</v>
      </c>
      <c r="K143" s="14"/>
      <c r="L143" s="15">
        <f t="shared" ref="L143:L152" si="421">IF((K143="x"),-20,0)</f>
        <v>0</v>
      </c>
      <c r="M143" s="14"/>
      <c r="N143" s="15">
        <f t="shared" ref="N143:N152" si="422">IF((M143="x"),-30,0)</f>
        <v>0</v>
      </c>
      <c r="O143" s="16">
        <f t="shared" si="387"/>
        <v>20</v>
      </c>
      <c r="P143" s="16">
        <f t="shared" si="388"/>
        <v>10</v>
      </c>
      <c r="Q143" s="16">
        <f t="shared" si="414"/>
        <v>10</v>
      </c>
      <c r="R143" s="14"/>
      <c r="S143" s="15">
        <f t="shared" ref="S143:S152" si="423">R143*10</f>
        <v>0</v>
      </c>
      <c r="T143" s="14"/>
      <c r="U143" s="15">
        <f t="shared" ref="U143:U152" si="424">T143*-15</f>
        <v>0</v>
      </c>
      <c r="V143" s="16">
        <f t="shared" ref="V143:V152" si="425">IF(AND(R143=2),10,IF(R143=3,30,IF(R143=4,50,IF(R143=5,70,0))))</f>
        <v>0</v>
      </c>
      <c r="W143" s="17">
        <f t="shared" ref="W143:W152" si="42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11</v>
      </c>
      <c r="D144" s="21" t="str">
        <f>Spieltag!B131</f>
        <v>Daniel-Kofi Kyereh</v>
      </c>
      <c r="E144" s="12" t="str">
        <f>Spieltag!C131</f>
        <v>Mittelfeld</v>
      </c>
      <c r="F144" s="13" t="s">
        <v>87</v>
      </c>
      <c r="G144" s="14"/>
      <c r="H144" s="15">
        <f t="shared" si="419"/>
        <v>0</v>
      </c>
      <c r="I144" s="14"/>
      <c r="J144" s="15">
        <f t="shared" si="420"/>
        <v>0</v>
      </c>
      <c r="K144" s="14"/>
      <c r="L144" s="15">
        <f t="shared" si="421"/>
        <v>0</v>
      </c>
      <c r="M144" s="14"/>
      <c r="N144" s="15">
        <f t="shared" si="422"/>
        <v>0</v>
      </c>
      <c r="O144" s="16">
        <f t="shared" si="387"/>
        <v>20</v>
      </c>
      <c r="P144" s="16">
        <f t="shared" si="388"/>
        <v>10</v>
      </c>
      <c r="Q144" s="16">
        <f t="shared" si="414"/>
        <v>10</v>
      </c>
      <c r="R144" s="14"/>
      <c r="S144" s="15">
        <f t="shared" si="423"/>
        <v>0</v>
      </c>
      <c r="T144" s="14"/>
      <c r="U144" s="15">
        <f t="shared" si="424"/>
        <v>0</v>
      </c>
      <c r="V144" s="16">
        <f t="shared" si="425"/>
        <v>0</v>
      </c>
      <c r="W144" s="17">
        <f t="shared" si="42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14</v>
      </c>
      <c r="D145" s="21" t="str">
        <f>Spieltag!B132</f>
        <v>Yannik Keitel</v>
      </c>
      <c r="E145" s="12" t="str">
        <f>Spieltag!C132</f>
        <v>Mittelfeld</v>
      </c>
      <c r="F145" s="13" t="s">
        <v>87</v>
      </c>
      <c r="G145" s="14"/>
      <c r="H145" s="15">
        <f t="shared" si="419"/>
        <v>0</v>
      </c>
      <c r="I145" s="14"/>
      <c r="J145" s="15">
        <f t="shared" si="420"/>
        <v>0</v>
      </c>
      <c r="K145" s="14"/>
      <c r="L145" s="15">
        <f t="shared" si="421"/>
        <v>0</v>
      </c>
      <c r="M145" s="14"/>
      <c r="N145" s="15">
        <f t="shared" si="422"/>
        <v>0</v>
      </c>
      <c r="O145" s="16">
        <f t="shared" si="387"/>
        <v>20</v>
      </c>
      <c r="P145" s="16">
        <f t="shared" si="388"/>
        <v>10</v>
      </c>
      <c r="Q145" s="16">
        <f t="shared" si="414"/>
        <v>10</v>
      </c>
      <c r="R145" s="14"/>
      <c r="S145" s="15">
        <f t="shared" si="423"/>
        <v>0</v>
      </c>
      <c r="T145" s="14"/>
      <c r="U145" s="15">
        <f t="shared" si="424"/>
        <v>0</v>
      </c>
      <c r="V145" s="16">
        <f t="shared" si="425"/>
        <v>0</v>
      </c>
      <c r="W145" s="17">
        <f t="shared" si="42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22</v>
      </c>
      <c r="D146" s="21" t="str">
        <f>Spieltag!B133</f>
        <v>Roland Sallai (A)</v>
      </c>
      <c r="E146" s="12" t="str">
        <f>Spieltag!C133</f>
        <v>Mittelfeld</v>
      </c>
      <c r="F146" s="13" t="s">
        <v>87</v>
      </c>
      <c r="G146" s="14"/>
      <c r="H146" s="15">
        <f t="shared" si="419"/>
        <v>0</v>
      </c>
      <c r="I146" s="14"/>
      <c r="J146" s="15">
        <f t="shared" si="420"/>
        <v>0</v>
      </c>
      <c r="K146" s="14"/>
      <c r="L146" s="15">
        <f t="shared" si="421"/>
        <v>0</v>
      </c>
      <c r="M146" s="14"/>
      <c r="N146" s="15">
        <f t="shared" si="422"/>
        <v>0</v>
      </c>
      <c r="O146" s="16">
        <f t="shared" si="387"/>
        <v>20</v>
      </c>
      <c r="P146" s="16">
        <f t="shared" si="388"/>
        <v>10</v>
      </c>
      <c r="Q146" s="16">
        <f t="shared" si="414"/>
        <v>10</v>
      </c>
      <c r="R146" s="14"/>
      <c r="S146" s="15">
        <f t="shared" si="423"/>
        <v>0</v>
      </c>
      <c r="T146" s="14"/>
      <c r="U146" s="15">
        <f t="shared" si="424"/>
        <v>0</v>
      </c>
      <c r="V146" s="16">
        <f t="shared" si="425"/>
        <v>0</v>
      </c>
      <c r="W146" s="17">
        <f t="shared" si="426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27</v>
      </c>
      <c r="D147" s="21" t="str">
        <f>Spieltag!B134</f>
        <v>Nicolas Höfler</v>
      </c>
      <c r="E147" s="12" t="str">
        <f>Spieltag!C134</f>
        <v>Mittelfeld</v>
      </c>
      <c r="F147" s="13" t="s">
        <v>87</v>
      </c>
      <c r="G147" s="14"/>
      <c r="H147" s="15">
        <f t="shared" si="419"/>
        <v>0</v>
      </c>
      <c r="I147" s="14"/>
      <c r="J147" s="15">
        <f t="shared" si="420"/>
        <v>0</v>
      </c>
      <c r="K147" s="14"/>
      <c r="L147" s="15">
        <f t="shared" si="421"/>
        <v>0</v>
      </c>
      <c r="M147" s="14"/>
      <c r="N147" s="15">
        <f t="shared" si="422"/>
        <v>0</v>
      </c>
      <c r="O147" s="16">
        <f t="shared" si="387"/>
        <v>20</v>
      </c>
      <c r="P147" s="16">
        <f t="shared" si="388"/>
        <v>10</v>
      </c>
      <c r="Q147" s="16">
        <f t="shared" si="414"/>
        <v>10</v>
      </c>
      <c r="R147" s="14"/>
      <c r="S147" s="15">
        <f t="shared" si="423"/>
        <v>0</v>
      </c>
      <c r="T147" s="14"/>
      <c r="U147" s="15">
        <f t="shared" si="424"/>
        <v>0</v>
      </c>
      <c r="V147" s="16">
        <f t="shared" si="425"/>
        <v>0</v>
      </c>
      <c r="W147" s="17">
        <f t="shared" si="426"/>
        <v>0</v>
      </c>
    </row>
    <row r="148" spans="1:23" ht="10.5" customHeight="1" x14ac:dyDescent="0.2">
      <c r="A148" s="11"/>
      <c r="B148" s="149">
        <f>COUNTA(Spieltag!K135:AA135)</f>
        <v>2</v>
      </c>
      <c r="C148" s="166">
        <f>Spieltag!A135</f>
        <v>32</v>
      </c>
      <c r="D148" s="21" t="str">
        <f>Spieltag!B135</f>
        <v>Vincenzo Grifo</v>
      </c>
      <c r="E148" s="12" t="str">
        <f>Spieltag!C135</f>
        <v>Mittelfeld</v>
      </c>
      <c r="F148" s="13" t="s">
        <v>87</v>
      </c>
      <c r="G148" s="14" t="s">
        <v>59</v>
      </c>
      <c r="H148" s="15">
        <f t="shared" si="419"/>
        <v>0</v>
      </c>
      <c r="I148" s="14"/>
      <c r="J148" s="15">
        <f t="shared" si="420"/>
        <v>0</v>
      </c>
      <c r="K148" s="14"/>
      <c r="L148" s="15">
        <f t="shared" si="421"/>
        <v>0</v>
      </c>
      <c r="M148" s="14"/>
      <c r="N148" s="15">
        <f t="shared" si="422"/>
        <v>0</v>
      </c>
      <c r="O148" s="16">
        <f t="shared" si="387"/>
        <v>20</v>
      </c>
      <c r="P148" s="16">
        <f t="shared" si="388"/>
        <v>10</v>
      </c>
      <c r="Q148" s="16">
        <f t="shared" si="414"/>
        <v>10</v>
      </c>
      <c r="R148" s="14"/>
      <c r="S148" s="15">
        <f t="shared" si="423"/>
        <v>0</v>
      </c>
      <c r="T148" s="14"/>
      <c r="U148" s="15">
        <f t="shared" si="424"/>
        <v>0</v>
      </c>
      <c r="V148" s="16">
        <f t="shared" si="425"/>
        <v>0</v>
      </c>
      <c r="W148" s="17">
        <f t="shared" si="426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34</v>
      </c>
      <c r="D149" s="21" t="str">
        <f>Spieltag!B136</f>
        <v>Merlin Röhl</v>
      </c>
      <c r="E149" s="12" t="str">
        <f>Spieltag!C136</f>
        <v>Mittelfeld</v>
      </c>
      <c r="F149" s="13" t="s">
        <v>87</v>
      </c>
      <c r="G149" s="14"/>
      <c r="H149" s="15">
        <f t="shared" si="419"/>
        <v>0</v>
      </c>
      <c r="I149" s="14"/>
      <c r="J149" s="15">
        <f t="shared" si="420"/>
        <v>0</v>
      </c>
      <c r="K149" s="14"/>
      <c r="L149" s="15">
        <f t="shared" si="421"/>
        <v>0</v>
      </c>
      <c r="M149" s="14"/>
      <c r="N149" s="15">
        <f t="shared" si="422"/>
        <v>0</v>
      </c>
      <c r="O149" s="16">
        <f t="shared" si="387"/>
        <v>20</v>
      </c>
      <c r="P149" s="16">
        <f t="shared" si="388"/>
        <v>10</v>
      </c>
      <c r="Q149" s="16">
        <f t="shared" si="414"/>
        <v>10</v>
      </c>
      <c r="R149" s="14"/>
      <c r="S149" s="15">
        <f t="shared" si="423"/>
        <v>0</v>
      </c>
      <c r="T149" s="14"/>
      <c r="U149" s="15">
        <f t="shared" si="424"/>
        <v>0</v>
      </c>
      <c r="V149" s="16">
        <f t="shared" si="425"/>
        <v>0</v>
      </c>
      <c r="W149" s="17">
        <f t="shared" si="426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35</v>
      </c>
      <c r="D150" s="21" t="str">
        <f>Spieltag!B137</f>
        <v>Fabian Rüdlin</v>
      </c>
      <c r="E150" s="12" t="str">
        <f>Spieltag!C137</f>
        <v>Mittelfeld</v>
      </c>
      <c r="F150" s="13" t="s">
        <v>87</v>
      </c>
      <c r="G150" s="14"/>
      <c r="H150" s="15">
        <f t="shared" si="419"/>
        <v>0</v>
      </c>
      <c r="I150" s="14"/>
      <c r="J150" s="15">
        <f t="shared" si="420"/>
        <v>0</v>
      </c>
      <c r="K150" s="14"/>
      <c r="L150" s="15">
        <f t="shared" si="421"/>
        <v>0</v>
      </c>
      <c r="M150" s="14"/>
      <c r="N150" s="15">
        <f t="shared" si="422"/>
        <v>0</v>
      </c>
      <c r="O150" s="16">
        <f t="shared" si="387"/>
        <v>20</v>
      </c>
      <c r="P150" s="16">
        <f t="shared" si="388"/>
        <v>10</v>
      </c>
      <c r="Q150" s="16">
        <f t="shared" si="414"/>
        <v>10</v>
      </c>
      <c r="R150" s="14"/>
      <c r="S150" s="15">
        <f t="shared" si="423"/>
        <v>0</v>
      </c>
      <c r="T150" s="14"/>
      <c r="U150" s="15">
        <f t="shared" si="424"/>
        <v>0</v>
      </c>
      <c r="V150" s="16">
        <f t="shared" si="425"/>
        <v>0</v>
      </c>
      <c r="W150" s="17">
        <f t="shared" si="42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42</v>
      </c>
      <c r="D151" s="21" t="str">
        <f>Spieltag!B138</f>
        <v>Ritsu Dōan (A)</v>
      </c>
      <c r="E151" s="12" t="str">
        <f>Spieltag!C138</f>
        <v>Mittelfeld</v>
      </c>
      <c r="F151" s="13" t="s">
        <v>87</v>
      </c>
      <c r="G151" s="14"/>
      <c r="H151" s="15">
        <f t="shared" ref="H151" si="427">IF(G151="x",10,0)</f>
        <v>0</v>
      </c>
      <c r="I151" s="14"/>
      <c r="J151" s="15">
        <f t="shared" ref="J151" si="428">IF((I151="x"),-10,0)</f>
        <v>0</v>
      </c>
      <c r="K151" s="14"/>
      <c r="L151" s="15">
        <f t="shared" ref="L151" si="429">IF((K151="x"),-20,0)</f>
        <v>0</v>
      </c>
      <c r="M151" s="14"/>
      <c r="N151" s="15">
        <f t="shared" ref="N151" si="430">IF((M151="x"),-30,0)</f>
        <v>0</v>
      </c>
      <c r="O151" s="16">
        <f t="shared" si="387"/>
        <v>20</v>
      </c>
      <c r="P151" s="16">
        <f t="shared" si="388"/>
        <v>10</v>
      </c>
      <c r="Q151" s="16">
        <f t="shared" si="414"/>
        <v>10</v>
      </c>
      <c r="R151" s="14"/>
      <c r="S151" s="15">
        <f t="shared" ref="S151" si="431">R151*10</f>
        <v>0</v>
      </c>
      <c r="T151" s="14"/>
      <c r="U151" s="15">
        <f t="shared" ref="U151" si="432">T151*-15</f>
        <v>0</v>
      </c>
      <c r="V151" s="16">
        <f t="shared" ref="V151" si="433">IF(AND(R151=2),10,IF(R151=3,30,IF(R151=4,50,IF(R151=5,70,0))))</f>
        <v>0</v>
      </c>
      <c r="W151" s="17">
        <f t="shared" ref="W151" si="434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54</v>
      </c>
      <c r="D152" s="21" t="str">
        <f>Spieltag!B139</f>
        <v>Mika Baur</v>
      </c>
      <c r="E152" s="12" t="str">
        <f>Spieltag!C139</f>
        <v>Mittelfeld</v>
      </c>
      <c r="F152" s="13" t="s">
        <v>87</v>
      </c>
      <c r="G152" s="14"/>
      <c r="H152" s="15">
        <f t="shared" si="419"/>
        <v>0</v>
      </c>
      <c r="I152" s="14"/>
      <c r="J152" s="15">
        <f t="shared" si="420"/>
        <v>0</v>
      </c>
      <c r="K152" s="14"/>
      <c r="L152" s="15">
        <f t="shared" si="421"/>
        <v>0</v>
      </c>
      <c r="M152" s="14"/>
      <c r="N152" s="15">
        <f t="shared" si="422"/>
        <v>0</v>
      </c>
      <c r="O152" s="16">
        <f t="shared" si="387"/>
        <v>20</v>
      </c>
      <c r="P152" s="16">
        <f t="shared" si="388"/>
        <v>10</v>
      </c>
      <c r="Q152" s="16">
        <f t="shared" si="414"/>
        <v>10</v>
      </c>
      <c r="R152" s="14"/>
      <c r="S152" s="15">
        <f t="shared" si="423"/>
        <v>0</v>
      </c>
      <c r="T152" s="14"/>
      <c r="U152" s="15">
        <f t="shared" si="424"/>
        <v>0</v>
      </c>
      <c r="V152" s="16">
        <f t="shared" si="425"/>
        <v>0</v>
      </c>
      <c r="W152" s="17">
        <f t="shared" si="426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9</v>
      </c>
      <c r="D153" s="21" t="str">
        <f>Spieltag!B140</f>
        <v>Lucas Höler</v>
      </c>
      <c r="E153" s="12" t="str">
        <f>Spieltag!C140</f>
        <v>Sturm</v>
      </c>
      <c r="F153" s="13" t="s">
        <v>87</v>
      </c>
      <c r="G153" s="14"/>
      <c r="H153" s="15">
        <f>IF(G153="x",10,0)</f>
        <v>0</v>
      </c>
      <c r="I153" s="14"/>
      <c r="J153" s="15">
        <f>IF((I153="x"),-10,0)</f>
        <v>0</v>
      </c>
      <c r="K153" s="14"/>
      <c r="L153" s="15">
        <f>IF((K153="x"),-20,0)</f>
        <v>0</v>
      </c>
      <c r="M153" s="14"/>
      <c r="N153" s="15">
        <f>IF((M153="x"),-30,0)</f>
        <v>0</v>
      </c>
      <c r="O153" s="16">
        <f t="shared" si="387"/>
        <v>20</v>
      </c>
      <c r="P153" s="16">
        <f t="shared" si="388"/>
        <v>10</v>
      </c>
      <c r="Q153" s="16">
        <f>IF(($W$8&lt;&gt;0),$W$8*-10,5)</f>
        <v>5</v>
      </c>
      <c r="R153" s="14"/>
      <c r="S153" s="15">
        <f>R153*10</f>
        <v>0</v>
      </c>
      <c r="T153" s="14"/>
      <c r="U153" s="15">
        <f>T153*-15</f>
        <v>0</v>
      </c>
      <c r="V153" s="16">
        <f>IF(AND(R153=2),10,IF(R153=3,30,IF(R153=4,50,IF(R153=5,70,0))))</f>
        <v>0</v>
      </c>
      <c r="W153" s="17">
        <f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20</v>
      </c>
      <c r="D154" s="21" t="str">
        <f>Spieltag!B141</f>
        <v>Junior Adamu (A)</v>
      </c>
      <c r="E154" s="12" t="str">
        <f>Spieltag!C141</f>
        <v>Sturm</v>
      </c>
      <c r="F154" s="13" t="s">
        <v>87</v>
      </c>
      <c r="G154" s="14"/>
      <c r="H154" s="15">
        <f t="shared" ref="H154:H157" si="435">IF(G154="x",10,0)</f>
        <v>0</v>
      </c>
      <c r="I154" s="14"/>
      <c r="J154" s="15">
        <f t="shared" ref="J154:J157" si="436">IF((I154="x"),-10,0)</f>
        <v>0</v>
      </c>
      <c r="K154" s="14"/>
      <c r="L154" s="15">
        <f t="shared" ref="L154:L157" si="437">IF((K154="x"),-20,0)</f>
        <v>0</v>
      </c>
      <c r="M154" s="14"/>
      <c r="N154" s="15">
        <f t="shared" ref="N154:N157" si="438">IF((M154="x"),-30,0)</f>
        <v>0</v>
      </c>
      <c r="O154" s="16">
        <f t="shared" si="387"/>
        <v>20</v>
      </c>
      <c r="P154" s="16">
        <f t="shared" si="388"/>
        <v>10</v>
      </c>
      <c r="Q154" s="16">
        <f t="shared" ref="Q154:Q157" si="439">IF(($W$8&lt;&gt;0),$W$8*-10,5)</f>
        <v>5</v>
      </c>
      <c r="R154" s="14"/>
      <c r="S154" s="15">
        <f t="shared" ref="S154:S157" si="440">R154*10</f>
        <v>0</v>
      </c>
      <c r="T154" s="14"/>
      <c r="U154" s="15">
        <f t="shared" ref="U154:U157" si="441">T154*-15</f>
        <v>0</v>
      </c>
      <c r="V154" s="16">
        <f t="shared" ref="V154:V157" si="442">IF(AND(R154=2),10,IF(R154=3,30,IF(R154=4,50,IF(R154=5,70,0))))</f>
        <v>0</v>
      </c>
      <c r="W154" s="17">
        <f t="shared" ref="W154:W157" si="443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26</v>
      </c>
      <c r="D155" s="21" t="str">
        <f>Spieltag!B142</f>
        <v>Maximilian Philipp</v>
      </c>
      <c r="E155" s="12" t="str">
        <f>Spieltag!C142</f>
        <v>Sturm</v>
      </c>
      <c r="F155" s="13" t="s">
        <v>87</v>
      </c>
      <c r="G155" s="14"/>
      <c r="H155" s="15">
        <f t="shared" si="435"/>
        <v>0</v>
      </c>
      <c r="I155" s="14"/>
      <c r="J155" s="15">
        <f t="shared" si="436"/>
        <v>0</v>
      </c>
      <c r="K155" s="14"/>
      <c r="L155" s="15">
        <f t="shared" si="437"/>
        <v>0</v>
      </c>
      <c r="M155" s="14"/>
      <c r="N155" s="15">
        <f t="shared" si="438"/>
        <v>0</v>
      </c>
      <c r="O155" s="16">
        <f t="shared" si="387"/>
        <v>20</v>
      </c>
      <c r="P155" s="16">
        <f t="shared" si="388"/>
        <v>10</v>
      </c>
      <c r="Q155" s="16">
        <f t="shared" si="439"/>
        <v>5</v>
      </c>
      <c r="R155" s="14"/>
      <c r="S155" s="15">
        <f t="shared" si="440"/>
        <v>0</v>
      </c>
      <c r="T155" s="14"/>
      <c r="U155" s="15">
        <f t="shared" si="441"/>
        <v>0</v>
      </c>
      <c r="V155" s="16">
        <f t="shared" si="442"/>
        <v>0</v>
      </c>
      <c r="W155" s="17">
        <f t="shared" si="44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38</v>
      </c>
      <c r="D156" s="21" t="str">
        <f>Spieltag!B143</f>
        <v>Michael Gregoritsch (A)</v>
      </c>
      <c r="E156" s="12" t="str">
        <f>Spieltag!C143</f>
        <v>Sturm</v>
      </c>
      <c r="F156" s="13" t="s">
        <v>87</v>
      </c>
      <c r="G156" s="14"/>
      <c r="H156" s="15">
        <f t="shared" ref="H156" si="444">IF(G156="x",10,0)</f>
        <v>0</v>
      </c>
      <c r="I156" s="14"/>
      <c r="J156" s="15">
        <f t="shared" ref="J156" si="445">IF((I156="x"),-10,0)</f>
        <v>0</v>
      </c>
      <c r="K156" s="14"/>
      <c r="L156" s="15">
        <f t="shared" ref="L156" si="446">IF((K156="x"),-20,0)</f>
        <v>0</v>
      </c>
      <c r="M156" s="14"/>
      <c r="N156" s="15">
        <f t="shared" ref="N156" si="447">IF((M156="x"),-30,0)</f>
        <v>0</v>
      </c>
      <c r="O156" s="16">
        <f t="shared" si="387"/>
        <v>20</v>
      </c>
      <c r="P156" s="16">
        <f t="shared" si="388"/>
        <v>10</v>
      </c>
      <c r="Q156" s="16">
        <f t="shared" si="439"/>
        <v>5</v>
      </c>
      <c r="R156" s="14"/>
      <c r="S156" s="15">
        <f t="shared" ref="S156" si="448">R156*10</f>
        <v>0</v>
      </c>
      <c r="T156" s="14"/>
      <c r="U156" s="15">
        <f t="shared" ref="U156" si="449">T156*-15</f>
        <v>0</v>
      </c>
      <c r="V156" s="16">
        <f t="shared" ref="V156" si="450">IF(AND(R156=2),10,IF(R156=3,30,IF(R156=4,50,IF(R156=5,70,0))))</f>
        <v>0</v>
      </c>
      <c r="W156" s="17">
        <f t="shared" ref="W156" si="451">IF(G156="x",H156+J156+L156+N156+O156+P156+Q156+S156+U156+V156,0)</f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44</v>
      </c>
      <c r="D157" s="21" t="str">
        <f>Spieltag!B144</f>
        <v>Maximilian Breunig</v>
      </c>
      <c r="E157" s="12" t="str">
        <f>Spieltag!C144</f>
        <v>Sturm</v>
      </c>
      <c r="F157" s="13" t="s">
        <v>87</v>
      </c>
      <c r="G157" s="14"/>
      <c r="H157" s="15">
        <f t="shared" si="435"/>
        <v>0</v>
      </c>
      <c r="I157" s="14"/>
      <c r="J157" s="15">
        <f t="shared" si="436"/>
        <v>0</v>
      </c>
      <c r="K157" s="14"/>
      <c r="L157" s="15">
        <f t="shared" si="437"/>
        <v>0</v>
      </c>
      <c r="M157" s="14"/>
      <c r="N157" s="15">
        <f t="shared" si="438"/>
        <v>0</v>
      </c>
      <c r="O157" s="16">
        <f t="shared" si="387"/>
        <v>20</v>
      </c>
      <c r="P157" s="16">
        <f t="shared" si="388"/>
        <v>10</v>
      </c>
      <c r="Q157" s="16">
        <f t="shared" si="439"/>
        <v>5</v>
      </c>
      <c r="R157" s="14"/>
      <c r="S157" s="15">
        <f t="shared" si="440"/>
        <v>0</v>
      </c>
      <c r="T157" s="14"/>
      <c r="U157" s="15">
        <f t="shared" si="441"/>
        <v>0</v>
      </c>
      <c r="V157" s="16">
        <f t="shared" si="442"/>
        <v>0</v>
      </c>
      <c r="W157" s="17">
        <f t="shared" si="443"/>
        <v>0</v>
      </c>
    </row>
    <row r="158" spans="1:23" s="144" customFormat="1" ht="17.25" thickBot="1" x14ac:dyDescent="0.25">
      <c r="A158" s="142"/>
      <c r="B158" s="143">
        <f>SUM(B159:B186)</f>
        <v>18</v>
      </c>
      <c r="C158" s="158"/>
      <c r="D158" s="234" t="s">
        <v>62</v>
      </c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5"/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1</v>
      </c>
      <c r="D159" s="21" t="str">
        <f>Spieltag!B146</f>
        <v>Lukáš Hrádecký (A)</v>
      </c>
      <c r="E159" s="12" t="str">
        <f>Spieltag!C146</f>
        <v>Torwart</v>
      </c>
      <c r="F159" s="13" t="s">
        <v>56</v>
      </c>
      <c r="G159" s="14"/>
      <c r="H159" s="15">
        <f t="shared" ref="H159" si="452">IF(G159="x",10,0)</f>
        <v>0</v>
      </c>
      <c r="I159" s="14"/>
      <c r="J159" s="15">
        <f t="shared" ref="J159" si="453">IF((I159="x"),-10,0)</f>
        <v>0</v>
      </c>
      <c r="K159" s="14"/>
      <c r="L159" s="15">
        <f t="shared" ref="L159" si="454">IF((K159="x"),-20,0)</f>
        <v>0</v>
      </c>
      <c r="M159" s="14"/>
      <c r="N159" s="15">
        <f t="shared" ref="N159" si="455">IF((M159="x"),-30,0)</f>
        <v>0</v>
      </c>
      <c r="O159" s="16">
        <f t="shared" ref="O159:O186" si="456">IF(AND($P$6&gt;$Q$6),20,IF($P$6=$Q$6,10,0))</f>
        <v>10</v>
      </c>
      <c r="P159" s="16">
        <f t="shared" ref="P159:P186" si="457">IF(($P$6&lt;&gt;0),$P$6*10,-5)</f>
        <v>10</v>
      </c>
      <c r="Q159" s="16">
        <f>IF(($Q$6&lt;&gt;0),$Q$6*-10,20)</f>
        <v>-10</v>
      </c>
      <c r="R159" s="14"/>
      <c r="S159" s="15">
        <f>R159*20</f>
        <v>0</v>
      </c>
      <c r="T159" s="14"/>
      <c r="U159" s="15">
        <f t="shared" ref="U159" si="458">T159*-15</f>
        <v>0</v>
      </c>
      <c r="V159" s="16">
        <f t="shared" ref="V159" si="459">IF(AND(R159=2),10,IF(R159=3,30,IF(R159=4,50,IF(R159=5,70,0))))</f>
        <v>0</v>
      </c>
      <c r="W159" s="17">
        <f t="shared" ref="W159" si="460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17</v>
      </c>
      <c r="D160" s="21" t="str">
        <f>Spieltag!B147</f>
        <v>Matěj Kovář (A)</v>
      </c>
      <c r="E160" s="12" t="str">
        <f>Spieltag!C147</f>
        <v>Torwart</v>
      </c>
      <c r="F160" s="13" t="s">
        <v>56</v>
      </c>
      <c r="G160" s="14"/>
      <c r="H160" s="15">
        <f t="shared" ref="H160" si="461">IF(G160="x",10,0)</f>
        <v>0</v>
      </c>
      <c r="I160" s="14"/>
      <c r="J160" s="15">
        <f t="shared" ref="J160" si="462">IF((I160="x"),-10,0)</f>
        <v>0</v>
      </c>
      <c r="K160" s="14"/>
      <c r="L160" s="15">
        <f t="shared" ref="L160" si="463">IF((K160="x"),-20,0)</f>
        <v>0</v>
      </c>
      <c r="M160" s="14"/>
      <c r="N160" s="15">
        <f t="shared" ref="N160" si="464">IF((M160="x"),-30,0)</f>
        <v>0</v>
      </c>
      <c r="O160" s="16">
        <f t="shared" si="456"/>
        <v>10</v>
      </c>
      <c r="P160" s="16">
        <f t="shared" si="457"/>
        <v>10</v>
      </c>
      <c r="Q160" s="16">
        <f t="shared" ref="Q160:Q161" si="465">IF(($Q$6&lt;&gt;0),$Q$6*-10,20)</f>
        <v>-10</v>
      </c>
      <c r="R160" s="14"/>
      <c r="S160" s="15">
        <f t="shared" ref="S160" si="466">R160*20</f>
        <v>0</v>
      </c>
      <c r="T160" s="14"/>
      <c r="U160" s="15">
        <f t="shared" ref="U160" si="467">T160*-15</f>
        <v>0</v>
      </c>
      <c r="V160" s="16">
        <f t="shared" ref="V160" si="468">IF(AND(R160=2),10,IF(R160=3,30,IF(R160=4,50,IF(R160=5,70,0))))</f>
        <v>0</v>
      </c>
      <c r="W160" s="17">
        <f t="shared" ref="W160" si="469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36</v>
      </c>
      <c r="D161" s="21" t="str">
        <f>Spieltag!B148</f>
        <v>Niklas Lomb</v>
      </c>
      <c r="E161" s="12" t="str">
        <f>Spieltag!C148</f>
        <v>Torwart</v>
      </c>
      <c r="F161" s="13" t="s">
        <v>56</v>
      </c>
      <c r="G161" s="14"/>
      <c r="H161" s="15">
        <f t="shared" ref="H161:H162" si="470">IF(G161="x",10,0)</f>
        <v>0</v>
      </c>
      <c r="I161" s="14"/>
      <c r="J161" s="15">
        <f t="shared" ref="J161:J162" si="471">IF((I161="x"),-10,0)</f>
        <v>0</v>
      </c>
      <c r="K161" s="14"/>
      <c r="L161" s="15">
        <f t="shared" ref="L161:L162" si="472">IF((K161="x"),-20,0)</f>
        <v>0</v>
      </c>
      <c r="M161" s="14"/>
      <c r="N161" s="15">
        <f t="shared" ref="N161:N162" si="473">IF((M161="x"),-30,0)</f>
        <v>0</v>
      </c>
      <c r="O161" s="16">
        <f t="shared" si="456"/>
        <v>10</v>
      </c>
      <c r="P161" s="16">
        <f t="shared" si="457"/>
        <v>10</v>
      </c>
      <c r="Q161" s="16">
        <f t="shared" si="465"/>
        <v>-10</v>
      </c>
      <c r="R161" s="14"/>
      <c r="S161" s="15">
        <f t="shared" ref="S161" si="474">R161*20</f>
        <v>0</v>
      </c>
      <c r="T161" s="14"/>
      <c r="U161" s="15">
        <f t="shared" ref="U161:U162" si="475">T161*-15</f>
        <v>0</v>
      </c>
      <c r="V161" s="16">
        <f t="shared" ref="V161:V162" si="476">IF(AND(R161=2),10,IF(R161=3,30,IF(R161=4,50,IF(R161=5,70,0))))</f>
        <v>0</v>
      </c>
      <c r="W161" s="17">
        <f t="shared" ref="W161:W162" si="477"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</v>
      </c>
      <c r="D162" s="21" t="str">
        <f>Spieltag!B149</f>
        <v>Josip Stanišić</v>
      </c>
      <c r="E162" s="12" t="str">
        <f>Spieltag!C149</f>
        <v>Abwehr</v>
      </c>
      <c r="F162" s="13" t="s">
        <v>56</v>
      </c>
      <c r="G162" s="14"/>
      <c r="H162" s="15">
        <f t="shared" si="470"/>
        <v>0</v>
      </c>
      <c r="I162" s="14"/>
      <c r="J162" s="15">
        <f t="shared" si="471"/>
        <v>0</v>
      </c>
      <c r="K162" s="14"/>
      <c r="L162" s="15">
        <f t="shared" si="472"/>
        <v>0</v>
      </c>
      <c r="M162" s="14"/>
      <c r="N162" s="15">
        <f t="shared" si="473"/>
        <v>0</v>
      </c>
      <c r="O162" s="16">
        <f t="shared" si="456"/>
        <v>10</v>
      </c>
      <c r="P162" s="16">
        <f t="shared" si="457"/>
        <v>10</v>
      </c>
      <c r="Q162" s="16">
        <f t="shared" ref="Q162:Q172" si="478">IF(($Q$6&lt;&gt;0),$Q$6*-10,15)</f>
        <v>-10</v>
      </c>
      <c r="R162" s="14"/>
      <c r="S162" s="15">
        <f t="shared" ref="S162" si="479">R162*15</f>
        <v>0</v>
      </c>
      <c r="T162" s="14"/>
      <c r="U162" s="15">
        <f t="shared" si="475"/>
        <v>0</v>
      </c>
      <c r="V162" s="16">
        <f t="shared" si="476"/>
        <v>0</v>
      </c>
      <c r="W162" s="17">
        <f t="shared" si="477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3</v>
      </c>
      <c r="D163" s="21" t="str">
        <f>Spieltag!B150</f>
        <v>Piero Hincapie (A)</v>
      </c>
      <c r="E163" s="12" t="str">
        <f>Spieltag!C150</f>
        <v>Abwehr</v>
      </c>
      <c r="F163" s="13" t="s">
        <v>56</v>
      </c>
      <c r="G163" s="14"/>
      <c r="H163" s="15">
        <f t="shared" ref="H163" si="480">IF(G163="x",10,0)</f>
        <v>0</v>
      </c>
      <c r="I163" s="14"/>
      <c r="J163" s="15">
        <f t="shared" ref="J163" si="481">IF((I163="x"),-10,0)</f>
        <v>0</v>
      </c>
      <c r="K163" s="14"/>
      <c r="L163" s="15">
        <f t="shared" ref="L163" si="482">IF((K163="x"),-20,0)</f>
        <v>0</v>
      </c>
      <c r="M163" s="14"/>
      <c r="N163" s="15">
        <f t="shared" ref="N163" si="483">IF((M163="x"),-30,0)</f>
        <v>0</v>
      </c>
      <c r="O163" s="16">
        <f t="shared" si="456"/>
        <v>10</v>
      </c>
      <c r="P163" s="16">
        <f t="shared" si="457"/>
        <v>10</v>
      </c>
      <c r="Q163" s="16">
        <f t="shared" si="478"/>
        <v>-10</v>
      </c>
      <c r="R163" s="14"/>
      <c r="S163" s="15">
        <f t="shared" ref="S163" si="484">R163*15</f>
        <v>0</v>
      </c>
      <c r="T163" s="14"/>
      <c r="U163" s="15">
        <f t="shared" ref="U163" si="485">T163*-15</f>
        <v>0</v>
      </c>
      <c r="V163" s="16">
        <f t="shared" ref="V163" si="486">IF(AND(R163=2),10,IF(R163=3,30,IF(R163=4,50,IF(R163=5,70,0))))</f>
        <v>0</v>
      </c>
      <c r="W163" s="17">
        <f t="shared" ref="W163" si="487">IF(G163="x",H163+J163+L163+N163+O163+P163+Q163+S163+U163+V163,0)</f>
        <v>0</v>
      </c>
    </row>
    <row r="164" spans="1:23" ht="10.5" customHeight="1" x14ac:dyDescent="0.2">
      <c r="A164" s="11"/>
      <c r="B164" s="149">
        <f>COUNTA(Spieltag!K151:AA151)</f>
        <v>3</v>
      </c>
      <c r="C164" s="166">
        <f>Spieltag!A151</f>
        <v>4</v>
      </c>
      <c r="D164" s="21" t="str">
        <f>Spieltag!B151</f>
        <v>Jonathan Tah</v>
      </c>
      <c r="E164" s="12" t="str">
        <f>Spieltag!C151</f>
        <v>Abwehr</v>
      </c>
      <c r="F164" s="13" t="s">
        <v>56</v>
      </c>
      <c r="G164" s="14" t="s">
        <v>661</v>
      </c>
      <c r="H164" s="15">
        <f t="shared" ref="H164:H173" si="488">IF(G164="x",10,0)</f>
        <v>10</v>
      </c>
      <c r="I164" s="14"/>
      <c r="J164" s="15">
        <f t="shared" ref="J164:J173" si="489">IF((I164="x"),-10,0)</f>
        <v>0</v>
      </c>
      <c r="K164" s="14"/>
      <c r="L164" s="15">
        <f t="shared" ref="L164:L173" si="490">IF((K164="x"),-20,0)</f>
        <v>0</v>
      </c>
      <c r="M164" s="14"/>
      <c r="N164" s="15">
        <f t="shared" ref="N164:N173" si="491">IF((M164="x"),-30,0)</f>
        <v>0</v>
      </c>
      <c r="O164" s="16">
        <f t="shared" si="456"/>
        <v>10</v>
      </c>
      <c r="P164" s="16">
        <f t="shared" si="457"/>
        <v>10</v>
      </c>
      <c r="Q164" s="16">
        <f t="shared" si="478"/>
        <v>-10</v>
      </c>
      <c r="R164" s="14"/>
      <c r="S164" s="15">
        <f t="shared" ref="S164:S172" si="492">R164*15</f>
        <v>0</v>
      </c>
      <c r="T164" s="14"/>
      <c r="U164" s="15">
        <f t="shared" ref="U164:U173" si="493">T164*-15</f>
        <v>0</v>
      </c>
      <c r="V164" s="16">
        <f t="shared" ref="V164:V173" si="494">IF(AND(R164=2),10,IF(R164=3,30,IF(R164=4,50,IF(R164=5,70,0))))</f>
        <v>0</v>
      </c>
      <c r="W164" s="17">
        <f t="shared" ref="W164:W173" si="495">IF(G164="x",H164+J164+L164+N164+O164+P164+Q164+S164+U164+V164,0)</f>
        <v>20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6</v>
      </c>
      <c r="D165" s="21" t="str">
        <f>Spieltag!B152</f>
        <v>Odilou Kossounou (A)</v>
      </c>
      <c r="E165" s="12" t="str">
        <f>Spieltag!C152</f>
        <v>Abwehr</v>
      </c>
      <c r="F165" s="13" t="s">
        <v>56</v>
      </c>
      <c r="G165" s="14"/>
      <c r="H165" s="15">
        <f t="shared" si="488"/>
        <v>0</v>
      </c>
      <c r="I165" s="14"/>
      <c r="J165" s="15">
        <f t="shared" si="489"/>
        <v>0</v>
      </c>
      <c r="K165" s="14"/>
      <c r="L165" s="15">
        <f t="shared" si="490"/>
        <v>0</v>
      </c>
      <c r="M165" s="14"/>
      <c r="N165" s="15">
        <f t="shared" si="491"/>
        <v>0</v>
      </c>
      <c r="O165" s="16">
        <f t="shared" si="456"/>
        <v>10</v>
      </c>
      <c r="P165" s="16">
        <f t="shared" si="457"/>
        <v>10</v>
      </c>
      <c r="Q165" s="16">
        <f t="shared" si="478"/>
        <v>-10</v>
      </c>
      <c r="R165" s="14"/>
      <c r="S165" s="15">
        <f t="shared" si="492"/>
        <v>0</v>
      </c>
      <c r="T165" s="14"/>
      <c r="U165" s="15">
        <f t="shared" si="493"/>
        <v>0</v>
      </c>
      <c r="V165" s="16">
        <f t="shared" si="494"/>
        <v>0</v>
      </c>
      <c r="W165" s="17">
        <f t="shared" si="495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12</v>
      </c>
      <c r="D166" s="21" t="str">
        <f>Spieltag!B153</f>
        <v>Edmond Tapsoba (A)</v>
      </c>
      <c r="E166" s="12" t="str">
        <f>Spieltag!C153</f>
        <v>Abwehr</v>
      </c>
      <c r="F166" s="13" t="s">
        <v>56</v>
      </c>
      <c r="G166" s="14"/>
      <c r="H166" s="15">
        <f t="shared" si="488"/>
        <v>0</v>
      </c>
      <c r="I166" s="14"/>
      <c r="J166" s="15">
        <f t="shared" si="489"/>
        <v>0</v>
      </c>
      <c r="K166" s="14"/>
      <c r="L166" s="15">
        <f t="shared" si="490"/>
        <v>0</v>
      </c>
      <c r="M166" s="14"/>
      <c r="N166" s="15">
        <f t="shared" si="491"/>
        <v>0</v>
      </c>
      <c r="O166" s="16">
        <f t="shared" si="456"/>
        <v>10</v>
      </c>
      <c r="P166" s="16">
        <f t="shared" si="457"/>
        <v>10</v>
      </c>
      <c r="Q166" s="16">
        <f t="shared" si="478"/>
        <v>-10</v>
      </c>
      <c r="R166" s="14"/>
      <c r="S166" s="15">
        <f t="shared" si="492"/>
        <v>0</v>
      </c>
      <c r="T166" s="14"/>
      <c r="U166" s="15">
        <f t="shared" si="493"/>
        <v>0</v>
      </c>
      <c r="V166" s="16">
        <f t="shared" si="494"/>
        <v>0</v>
      </c>
      <c r="W166" s="17">
        <f t="shared" si="495"/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13</v>
      </c>
      <c r="D167" s="21" t="str">
        <f>Spieltag!B154</f>
        <v>Arthur (A)</v>
      </c>
      <c r="E167" s="12" t="str">
        <f>Spieltag!C154</f>
        <v>Abwehr</v>
      </c>
      <c r="F167" s="13" t="s">
        <v>56</v>
      </c>
      <c r="G167" s="14"/>
      <c r="H167" s="15">
        <f t="shared" si="488"/>
        <v>0</v>
      </c>
      <c r="I167" s="14"/>
      <c r="J167" s="15">
        <f t="shared" si="489"/>
        <v>0</v>
      </c>
      <c r="K167" s="14"/>
      <c r="L167" s="15">
        <f t="shared" si="490"/>
        <v>0</v>
      </c>
      <c r="M167" s="14"/>
      <c r="N167" s="15">
        <f t="shared" si="491"/>
        <v>0</v>
      </c>
      <c r="O167" s="16">
        <f t="shared" si="456"/>
        <v>10</v>
      </c>
      <c r="P167" s="16">
        <f t="shared" si="457"/>
        <v>10</v>
      </c>
      <c r="Q167" s="16">
        <f t="shared" si="478"/>
        <v>-10</v>
      </c>
      <c r="R167" s="14"/>
      <c r="S167" s="15">
        <f t="shared" si="492"/>
        <v>0</v>
      </c>
      <c r="T167" s="14"/>
      <c r="U167" s="15">
        <f t="shared" si="493"/>
        <v>0</v>
      </c>
      <c r="V167" s="16">
        <f t="shared" si="494"/>
        <v>0</v>
      </c>
      <c r="W167" s="17">
        <f t="shared" si="495"/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20</v>
      </c>
      <c r="D168" s="21" t="str">
        <f>Spieltag!B155</f>
        <v>Alejandro Grimaldi (A)</v>
      </c>
      <c r="E168" s="12" t="str">
        <f>Spieltag!C155</f>
        <v>Abwehr</v>
      </c>
      <c r="F168" s="13" t="s">
        <v>56</v>
      </c>
      <c r="G168" s="14"/>
      <c r="H168" s="15">
        <f t="shared" si="488"/>
        <v>0</v>
      </c>
      <c r="I168" s="14"/>
      <c r="J168" s="15">
        <f t="shared" si="489"/>
        <v>0</v>
      </c>
      <c r="K168" s="14"/>
      <c r="L168" s="15">
        <f t="shared" si="490"/>
        <v>0</v>
      </c>
      <c r="M168" s="14"/>
      <c r="N168" s="15">
        <f t="shared" si="491"/>
        <v>0</v>
      </c>
      <c r="O168" s="16">
        <f t="shared" si="456"/>
        <v>10</v>
      </c>
      <c r="P168" s="16">
        <f t="shared" si="457"/>
        <v>10</v>
      </c>
      <c r="Q168" s="16">
        <f t="shared" si="478"/>
        <v>-10</v>
      </c>
      <c r="R168" s="14"/>
      <c r="S168" s="15">
        <f t="shared" si="492"/>
        <v>0</v>
      </c>
      <c r="T168" s="14"/>
      <c r="U168" s="15">
        <f t="shared" si="493"/>
        <v>0</v>
      </c>
      <c r="V168" s="16">
        <f t="shared" si="494"/>
        <v>0</v>
      </c>
      <c r="W168" s="17">
        <f t="shared" si="495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24</v>
      </c>
      <c r="D169" s="21" t="str">
        <f>Spieltag!B156</f>
        <v>Timothy Fosu-Mensah (A)</v>
      </c>
      <c r="E169" s="12" t="str">
        <f>Spieltag!C156</f>
        <v>Abwehr</v>
      </c>
      <c r="F169" s="13" t="s">
        <v>56</v>
      </c>
      <c r="G169" s="14"/>
      <c r="H169" s="15">
        <f t="shared" si="488"/>
        <v>0</v>
      </c>
      <c r="I169" s="14"/>
      <c r="J169" s="15">
        <f t="shared" si="489"/>
        <v>0</v>
      </c>
      <c r="K169" s="14"/>
      <c r="L169" s="15">
        <f t="shared" si="490"/>
        <v>0</v>
      </c>
      <c r="M169" s="14"/>
      <c r="N169" s="15">
        <f t="shared" si="491"/>
        <v>0</v>
      </c>
      <c r="O169" s="16">
        <f t="shared" si="456"/>
        <v>10</v>
      </c>
      <c r="P169" s="16">
        <f t="shared" si="457"/>
        <v>10</v>
      </c>
      <c r="Q169" s="16">
        <f t="shared" si="478"/>
        <v>-10</v>
      </c>
      <c r="R169" s="14"/>
      <c r="S169" s="15">
        <f t="shared" si="492"/>
        <v>0</v>
      </c>
      <c r="T169" s="14"/>
      <c r="U169" s="15">
        <f t="shared" si="493"/>
        <v>0</v>
      </c>
      <c r="V169" s="16">
        <f t="shared" si="494"/>
        <v>0</v>
      </c>
      <c r="W169" s="17">
        <f t="shared" si="495"/>
        <v>0</v>
      </c>
    </row>
    <row r="170" spans="1:23" ht="10.5" customHeight="1" x14ac:dyDescent="0.2">
      <c r="A170" s="11"/>
      <c r="B170" s="149">
        <f>COUNTA(Spieltag!K157:AA157)</f>
        <v>1</v>
      </c>
      <c r="C170" s="166">
        <f>Spieltag!A157</f>
        <v>30</v>
      </c>
      <c r="D170" s="21" t="str">
        <f>Spieltag!B157</f>
        <v>Jeremie Frimpong (A)</v>
      </c>
      <c r="E170" s="12" t="str">
        <f>Spieltag!C157</f>
        <v>Abwehr</v>
      </c>
      <c r="F170" s="13" t="s">
        <v>56</v>
      </c>
      <c r="G170" s="14" t="s">
        <v>661</v>
      </c>
      <c r="H170" s="15">
        <f t="shared" si="488"/>
        <v>10</v>
      </c>
      <c r="I170" s="14" t="s">
        <v>661</v>
      </c>
      <c r="J170" s="15">
        <f t="shared" si="489"/>
        <v>-10</v>
      </c>
      <c r="K170" s="14"/>
      <c r="L170" s="15">
        <f t="shared" si="490"/>
        <v>0</v>
      </c>
      <c r="M170" s="14"/>
      <c r="N170" s="15">
        <f t="shared" si="491"/>
        <v>0</v>
      </c>
      <c r="O170" s="16">
        <f t="shared" si="456"/>
        <v>10</v>
      </c>
      <c r="P170" s="16">
        <f t="shared" si="457"/>
        <v>10</v>
      </c>
      <c r="Q170" s="16">
        <f t="shared" si="478"/>
        <v>-10</v>
      </c>
      <c r="R170" s="14"/>
      <c r="S170" s="15">
        <f t="shared" si="492"/>
        <v>0</v>
      </c>
      <c r="T170" s="14"/>
      <c r="U170" s="15">
        <f t="shared" si="493"/>
        <v>0</v>
      </c>
      <c r="V170" s="16">
        <f t="shared" si="494"/>
        <v>0</v>
      </c>
      <c r="W170" s="17">
        <f t="shared" si="495"/>
        <v>10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31</v>
      </c>
      <c r="D171" s="21" t="str">
        <f>Spieltag!B158</f>
        <v>Madi Monamay (A)</v>
      </c>
      <c r="E171" s="12" t="str">
        <f>Spieltag!C158</f>
        <v>Abwehr</v>
      </c>
      <c r="F171" s="13" t="s">
        <v>56</v>
      </c>
      <c r="G171" s="14"/>
      <c r="H171" s="15">
        <f t="shared" ref="H171" si="496">IF(G171="x",10,0)</f>
        <v>0</v>
      </c>
      <c r="I171" s="14"/>
      <c r="J171" s="15">
        <f t="shared" ref="J171" si="497">IF((I171="x"),-10,0)</f>
        <v>0</v>
      </c>
      <c r="K171" s="14"/>
      <c r="L171" s="15">
        <f t="shared" ref="L171" si="498">IF((K171="x"),-20,0)</f>
        <v>0</v>
      </c>
      <c r="M171" s="14"/>
      <c r="N171" s="15">
        <f t="shared" ref="N171" si="499">IF((M171="x"),-30,0)</f>
        <v>0</v>
      </c>
      <c r="O171" s="16">
        <f t="shared" si="456"/>
        <v>10</v>
      </c>
      <c r="P171" s="16">
        <f t="shared" si="457"/>
        <v>10</v>
      </c>
      <c r="Q171" s="16">
        <f t="shared" si="478"/>
        <v>-10</v>
      </c>
      <c r="R171" s="14"/>
      <c r="S171" s="15">
        <f t="shared" ref="S171" si="500">R171*15</f>
        <v>0</v>
      </c>
      <c r="T171" s="14"/>
      <c r="U171" s="15">
        <f t="shared" ref="U171" si="501">T171*-15</f>
        <v>0</v>
      </c>
      <c r="V171" s="16">
        <f t="shared" ref="V171" si="502">IF(AND(R171=2),10,IF(R171=3,30,IF(R171=4,50,IF(R171=5,70,0))))</f>
        <v>0</v>
      </c>
      <c r="W171" s="17">
        <f t="shared" ref="W171" si="503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48</v>
      </c>
      <c r="D172" s="21" t="str">
        <f>Spieltag!B159</f>
        <v>Reno Münz</v>
      </c>
      <c r="E172" s="12" t="str">
        <f>Spieltag!C159</f>
        <v>Abwehr</v>
      </c>
      <c r="F172" s="13" t="s">
        <v>56</v>
      </c>
      <c r="G172" s="14"/>
      <c r="H172" s="15">
        <f t="shared" si="488"/>
        <v>0</v>
      </c>
      <c r="I172" s="14"/>
      <c r="J172" s="15">
        <f t="shared" si="489"/>
        <v>0</v>
      </c>
      <c r="K172" s="14"/>
      <c r="L172" s="15">
        <f t="shared" si="490"/>
        <v>0</v>
      </c>
      <c r="M172" s="14"/>
      <c r="N172" s="15">
        <f t="shared" si="491"/>
        <v>0</v>
      </c>
      <c r="O172" s="16">
        <f t="shared" si="456"/>
        <v>10</v>
      </c>
      <c r="P172" s="16">
        <f t="shared" si="457"/>
        <v>10</v>
      </c>
      <c r="Q172" s="16">
        <f t="shared" si="478"/>
        <v>-10</v>
      </c>
      <c r="R172" s="14"/>
      <c r="S172" s="15">
        <f t="shared" si="492"/>
        <v>0</v>
      </c>
      <c r="T172" s="14"/>
      <c r="U172" s="15">
        <f t="shared" si="493"/>
        <v>0</v>
      </c>
      <c r="V172" s="16">
        <f t="shared" si="494"/>
        <v>0</v>
      </c>
      <c r="W172" s="17">
        <f t="shared" si="495"/>
        <v>0</v>
      </c>
    </row>
    <row r="173" spans="1:23" ht="10.5" customHeight="1" x14ac:dyDescent="0.2">
      <c r="A173" s="11"/>
      <c r="B173" s="149">
        <f>COUNTA(Spieltag!K160:AA160)</f>
        <v>5</v>
      </c>
      <c r="C173" s="166">
        <f>Spieltag!A160</f>
        <v>7</v>
      </c>
      <c r="D173" s="21" t="str">
        <f>Spieltag!B160</f>
        <v>Jonas Hofmann</v>
      </c>
      <c r="E173" s="12" t="str">
        <f>Spieltag!C160</f>
        <v>Mittelfeld</v>
      </c>
      <c r="F173" s="13" t="s">
        <v>56</v>
      </c>
      <c r="G173" s="14" t="s">
        <v>661</v>
      </c>
      <c r="H173" s="15">
        <f t="shared" si="488"/>
        <v>10</v>
      </c>
      <c r="I173" s="14"/>
      <c r="J173" s="15">
        <f t="shared" si="489"/>
        <v>0</v>
      </c>
      <c r="K173" s="14"/>
      <c r="L173" s="15">
        <f t="shared" si="490"/>
        <v>0</v>
      </c>
      <c r="M173" s="14"/>
      <c r="N173" s="15">
        <f t="shared" si="491"/>
        <v>0</v>
      </c>
      <c r="O173" s="16">
        <f t="shared" si="456"/>
        <v>10</v>
      </c>
      <c r="P173" s="16">
        <f t="shared" si="457"/>
        <v>10</v>
      </c>
      <c r="Q173" s="16">
        <f t="shared" ref="Q173:Q181" si="504">IF(($Q$6&lt;&gt;0),$Q$6*-10,10)</f>
        <v>-10</v>
      </c>
      <c r="R173" s="14"/>
      <c r="S173" s="15">
        <f t="shared" ref="S173:S181" si="505">R173*10</f>
        <v>0</v>
      </c>
      <c r="T173" s="14"/>
      <c r="U173" s="15">
        <f t="shared" si="493"/>
        <v>0</v>
      </c>
      <c r="V173" s="16">
        <f t="shared" si="494"/>
        <v>0</v>
      </c>
      <c r="W173" s="17">
        <f t="shared" si="495"/>
        <v>20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8</v>
      </c>
      <c r="D174" s="21" t="str">
        <f>Spieltag!B161</f>
        <v>Robert Andrich</v>
      </c>
      <c r="E174" s="12" t="str">
        <f>Spieltag!C161</f>
        <v>Mittelfeld</v>
      </c>
      <c r="F174" s="13" t="s">
        <v>56</v>
      </c>
      <c r="G174" s="14"/>
      <c r="H174" s="15">
        <f t="shared" ref="H174:H181" si="506">IF(G174="x",10,0)</f>
        <v>0</v>
      </c>
      <c r="I174" s="14"/>
      <c r="J174" s="15">
        <f t="shared" ref="J174:J181" si="507">IF((I174="x"),-10,0)</f>
        <v>0</v>
      </c>
      <c r="K174" s="14"/>
      <c r="L174" s="15">
        <f t="shared" ref="L174:L181" si="508">IF((K174="x"),-20,0)</f>
        <v>0</v>
      </c>
      <c r="M174" s="14"/>
      <c r="N174" s="15">
        <f t="shared" ref="N174:N181" si="509">IF((M174="x"),-30,0)</f>
        <v>0</v>
      </c>
      <c r="O174" s="16">
        <f t="shared" si="456"/>
        <v>10</v>
      </c>
      <c r="P174" s="16">
        <f t="shared" si="457"/>
        <v>10</v>
      </c>
      <c r="Q174" s="16">
        <f t="shared" si="504"/>
        <v>-10</v>
      </c>
      <c r="R174" s="14"/>
      <c r="S174" s="15">
        <f t="shared" si="505"/>
        <v>0</v>
      </c>
      <c r="T174" s="14"/>
      <c r="U174" s="15">
        <f t="shared" ref="U174:U181" si="510">T174*-15</f>
        <v>0</v>
      </c>
      <c r="V174" s="16">
        <f t="shared" ref="V174:V181" si="511">IF(AND(R174=2),10,IF(R174=3,30,IF(R174=4,50,IF(R174=5,70,0))))</f>
        <v>0</v>
      </c>
      <c r="W174" s="17">
        <f t="shared" ref="W174:W181" si="512">IF(G174="x",H174+J174+L174+N174+O174+P174+Q174+S174+U174+V174,0)</f>
        <v>0</v>
      </c>
    </row>
    <row r="175" spans="1:23" ht="10.5" customHeight="1" x14ac:dyDescent="0.2">
      <c r="A175" s="11"/>
      <c r="B175" s="149">
        <f>COUNTA(Spieltag!K162:AA162)</f>
        <v>4</v>
      </c>
      <c r="C175" s="166">
        <f>Spieltag!A162</f>
        <v>10</v>
      </c>
      <c r="D175" s="21" t="str">
        <f>Spieltag!B162</f>
        <v>Florian Wirtz</v>
      </c>
      <c r="E175" s="12" t="str">
        <f>Spieltag!C162</f>
        <v>Mittelfeld</v>
      </c>
      <c r="F175" s="13" t="s">
        <v>56</v>
      </c>
      <c r="G175" s="14" t="s">
        <v>661</v>
      </c>
      <c r="H175" s="15">
        <f>IF(G175="x",10,0)</f>
        <v>10</v>
      </c>
      <c r="I175" s="14"/>
      <c r="J175" s="15">
        <f>IF((I175="x"),-10,0)</f>
        <v>0</v>
      </c>
      <c r="K175" s="14"/>
      <c r="L175" s="15">
        <f>IF((K175="x"),-20,0)</f>
        <v>0</v>
      </c>
      <c r="M175" s="14"/>
      <c r="N175" s="15">
        <f>IF((M175="x"),-30,0)</f>
        <v>0</v>
      </c>
      <c r="O175" s="16">
        <f t="shared" si="456"/>
        <v>10</v>
      </c>
      <c r="P175" s="16">
        <f t="shared" si="457"/>
        <v>10</v>
      </c>
      <c r="Q175" s="16">
        <f t="shared" si="504"/>
        <v>-10</v>
      </c>
      <c r="R175" s="14"/>
      <c r="S175" s="15">
        <f>R175*10</f>
        <v>0</v>
      </c>
      <c r="T175" s="14"/>
      <c r="U175" s="15">
        <f>T175*-15</f>
        <v>0</v>
      </c>
      <c r="V175" s="16">
        <f>IF(AND(R175=2),10,IF(R175=3,30,IF(R175=4,50,IF(R175=5,70,0))))</f>
        <v>0</v>
      </c>
      <c r="W175" s="17">
        <f>IF(G175="x",H175+J175+L175+N175+O175+P175+Q175+S175+U175+V175,0)</f>
        <v>20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11</v>
      </c>
      <c r="D176" s="21" t="str">
        <f>Spieltag!B163</f>
        <v>Nadiem Amiri</v>
      </c>
      <c r="E176" s="12" t="str">
        <f>Spieltag!C163</f>
        <v>Mittelfeld</v>
      </c>
      <c r="F176" s="13" t="s">
        <v>56</v>
      </c>
      <c r="G176" s="14"/>
      <c r="H176" s="15">
        <f t="shared" si="506"/>
        <v>0</v>
      </c>
      <c r="I176" s="14"/>
      <c r="J176" s="15">
        <f t="shared" si="507"/>
        <v>0</v>
      </c>
      <c r="K176" s="14"/>
      <c r="L176" s="15">
        <f t="shared" si="508"/>
        <v>0</v>
      </c>
      <c r="M176" s="14"/>
      <c r="N176" s="15">
        <f t="shared" si="509"/>
        <v>0</v>
      </c>
      <c r="O176" s="16">
        <f t="shared" si="456"/>
        <v>10</v>
      </c>
      <c r="P176" s="16">
        <f t="shared" si="457"/>
        <v>10</v>
      </c>
      <c r="Q176" s="16">
        <f t="shared" si="504"/>
        <v>-10</v>
      </c>
      <c r="R176" s="14"/>
      <c r="S176" s="15">
        <f t="shared" si="505"/>
        <v>0</v>
      </c>
      <c r="T176" s="14"/>
      <c r="U176" s="15">
        <f t="shared" si="510"/>
        <v>0</v>
      </c>
      <c r="V176" s="16">
        <f t="shared" si="511"/>
        <v>0</v>
      </c>
      <c r="W176" s="17">
        <f t="shared" si="51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18</v>
      </c>
      <c r="D177" s="21" t="str">
        <f>Spieltag!B164</f>
        <v>Noah Mbamba (A)</v>
      </c>
      <c r="E177" s="12" t="str">
        <f>Spieltag!C164</f>
        <v>Mittelfeld</v>
      </c>
      <c r="F177" s="13" t="s">
        <v>56</v>
      </c>
      <c r="G177" s="14"/>
      <c r="H177" s="15">
        <f t="shared" si="506"/>
        <v>0</v>
      </c>
      <c r="I177" s="14"/>
      <c r="J177" s="15">
        <f t="shared" si="507"/>
        <v>0</v>
      </c>
      <c r="K177" s="14"/>
      <c r="L177" s="15">
        <f t="shared" si="508"/>
        <v>0</v>
      </c>
      <c r="M177" s="14"/>
      <c r="N177" s="15">
        <f t="shared" si="509"/>
        <v>0</v>
      </c>
      <c r="O177" s="16">
        <f t="shared" si="456"/>
        <v>10</v>
      </c>
      <c r="P177" s="16">
        <f t="shared" si="457"/>
        <v>10</v>
      </c>
      <c r="Q177" s="16">
        <f t="shared" si="504"/>
        <v>-10</v>
      </c>
      <c r="R177" s="14"/>
      <c r="S177" s="15">
        <f t="shared" si="505"/>
        <v>0</v>
      </c>
      <c r="T177" s="14"/>
      <c r="U177" s="15">
        <f t="shared" si="510"/>
        <v>0</v>
      </c>
      <c r="V177" s="16">
        <f t="shared" si="511"/>
        <v>0</v>
      </c>
      <c r="W177" s="17">
        <f t="shared" si="512"/>
        <v>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25</v>
      </c>
      <c r="D178" s="21" t="str">
        <f>Spieltag!B165</f>
        <v>Exequiel Palacios (A)</v>
      </c>
      <c r="E178" s="12" t="str">
        <f>Spieltag!C165</f>
        <v>Mittelfeld</v>
      </c>
      <c r="F178" s="13" t="s">
        <v>56</v>
      </c>
      <c r="G178" s="14"/>
      <c r="H178" s="15">
        <f t="shared" si="506"/>
        <v>0</v>
      </c>
      <c r="I178" s="14"/>
      <c r="J178" s="15">
        <f t="shared" si="507"/>
        <v>0</v>
      </c>
      <c r="K178" s="14"/>
      <c r="L178" s="15">
        <f t="shared" si="508"/>
        <v>0</v>
      </c>
      <c r="M178" s="14"/>
      <c r="N178" s="15">
        <f t="shared" si="509"/>
        <v>0</v>
      </c>
      <c r="O178" s="16">
        <f t="shared" si="456"/>
        <v>10</v>
      </c>
      <c r="P178" s="16">
        <f t="shared" si="457"/>
        <v>10</v>
      </c>
      <c r="Q178" s="16">
        <f t="shared" si="504"/>
        <v>-10</v>
      </c>
      <c r="R178" s="14"/>
      <c r="S178" s="15">
        <f t="shared" si="505"/>
        <v>0</v>
      </c>
      <c r="T178" s="14"/>
      <c r="U178" s="15">
        <f t="shared" si="510"/>
        <v>0</v>
      </c>
      <c r="V178" s="16">
        <f t="shared" si="511"/>
        <v>0</v>
      </c>
      <c r="W178" s="17">
        <f t="shared" si="512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32</v>
      </c>
      <c r="D179" s="21" t="str">
        <f>Spieltag!B166</f>
        <v>Gustavo Puerta (A)</v>
      </c>
      <c r="E179" s="12" t="str">
        <f>Spieltag!C166</f>
        <v>Mittelfeld</v>
      </c>
      <c r="F179" s="13" t="s">
        <v>56</v>
      </c>
      <c r="G179" s="14"/>
      <c r="H179" s="15">
        <f t="shared" si="506"/>
        <v>0</v>
      </c>
      <c r="I179" s="14"/>
      <c r="J179" s="15">
        <f t="shared" si="507"/>
        <v>0</v>
      </c>
      <c r="K179" s="14"/>
      <c r="L179" s="15">
        <f t="shared" si="508"/>
        <v>0</v>
      </c>
      <c r="M179" s="14"/>
      <c r="N179" s="15">
        <f t="shared" si="509"/>
        <v>0</v>
      </c>
      <c r="O179" s="16">
        <f t="shared" si="456"/>
        <v>10</v>
      </c>
      <c r="P179" s="16">
        <f t="shared" si="457"/>
        <v>10</v>
      </c>
      <c r="Q179" s="16">
        <f t="shared" si="504"/>
        <v>-10</v>
      </c>
      <c r="R179" s="14"/>
      <c r="S179" s="15">
        <f t="shared" si="505"/>
        <v>0</v>
      </c>
      <c r="T179" s="14"/>
      <c r="U179" s="15">
        <f t="shared" si="510"/>
        <v>0</v>
      </c>
      <c r="V179" s="16">
        <f t="shared" si="511"/>
        <v>0</v>
      </c>
      <c r="W179" s="17">
        <f t="shared" si="512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34</v>
      </c>
      <c r="D180" s="21" t="str">
        <f>Spieltag!B167</f>
        <v>Granit Xhaka (A)</v>
      </c>
      <c r="E180" s="12" t="str">
        <f>Spieltag!C167</f>
        <v>Mittelfeld</v>
      </c>
      <c r="F180" s="13" t="s">
        <v>56</v>
      </c>
      <c r="G180" s="14"/>
      <c r="H180" s="15">
        <f t="shared" si="506"/>
        <v>0</v>
      </c>
      <c r="I180" s="14"/>
      <c r="J180" s="15">
        <f t="shared" si="507"/>
        <v>0</v>
      </c>
      <c r="K180" s="14"/>
      <c r="L180" s="15">
        <f t="shared" si="508"/>
        <v>0</v>
      </c>
      <c r="M180" s="14"/>
      <c r="N180" s="15">
        <f t="shared" si="509"/>
        <v>0</v>
      </c>
      <c r="O180" s="16">
        <f t="shared" si="456"/>
        <v>10</v>
      </c>
      <c r="P180" s="16">
        <f t="shared" si="457"/>
        <v>10</v>
      </c>
      <c r="Q180" s="16">
        <f t="shared" si="504"/>
        <v>-10</v>
      </c>
      <c r="R180" s="14"/>
      <c r="S180" s="15">
        <f t="shared" si="505"/>
        <v>0</v>
      </c>
      <c r="T180" s="14"/>
      <c r="U180" s="15">
        <f t="shared" si="510"/>
        <v>0</v>
      </c>
      <c r="V180" s="16">
        <f t="shared" si="511"/>
        <v>0</v>
      </c>
      <c r="W180" s="17">
        <f t="shared" si="512"/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47</v>
      </c>
      <c r="D181" s="21" t="str">
        <f>Spieltag!B168</f>
        <v>Ayman Aourir</v>
      </c>
      <c r="E181" s="12" t="str">
        <f>Spieltag!C168</f>
        <v>Mittelfeld</v>
      </c>
      <c r="F181" s="13" t="s">
        <v>56</v>
      </c>
      <c r="G181" s="14"/>
      <c r="H181" s="15">
        <f t="shared" si="506"/>
        <v>0</v>
      </c>
      <c r="I181" s="14"/>
      <c r="J181" s="15">
        <f t="shared" si="507"/>
        <v>0</v>
      </c>
      <c r="K181" s="14"/>
      <c r="L181" s="15">
        <f t="shared" si="508"/>
        <v>0</v>
      </c>
      <c r="M181" s="14"/>
      <c r="N181" s="15">
        <f t="shared" si="509"/>
        <v>0</v>
      </c>
      <c r="O181" s="16">
        <f t="shared" si="456"/>
        <v>10</v>
      </c>
      <c r="P181" s="16">
        <f t="shared" si="457"/>
        <v>10</v>
      </c>
      <c r="Q181" s="16">
        <f t="shared" si="504"/>
        <v>-10</v>
      </c>
      <c r="R181" s="14"/>
      <c r="S181" s="15">
        <f t="shared" si="505"/>
        <v>0</v>
      </c>
      <c r="T181" s="14"/>
      <c r="U181" s="15">
        <f t="shared" si="510"/>
        <v>0</v>
      </c>
      <c r="V181" s="16">
        <f t="shared" si="511"/>
        <v>0</v>
      </c>
      <c r="W181" s="17">
        <f t="shared" si="512"/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14</v>
      </c>
      <c r="D182" s="21" t="str">
        <f>Spieltag!B169</f>
        <v>Patrick Schick (A)</v>
      </c>
      <c r="E182" s="12" t="str">
        <f>Spieltag!C169</f>
        <v>Sturm</v>
      </c>
      <c r="F182" s="13" t="s">
        <v>56</v>
      </c>
      <c r="G182" s="14"/>
      <c r="H182" s="15">
        <f t="shared" ref="H182" si="513">IF(G182="x",10,0)</f>
        <v>0</v>
      </c>
      <c r="I182" s="14"/>
      <c r="J182" s="15">
        <f t="shared" ref="J182" si="514">IF((I182="x"),-10,0)</f>
        <v>0</v>
      </c>
      <c r="K182" s="14"/>
      <c r="L182" s="15">
        <f t="shared" ref="L182" si="515">IF((K182="x"),-20,0)</f>
        <v>0</v>
      </c>
      <c r="M182" s="14"/>
      <c r="N182" s="15">
        <f t="shared" ref="N182" si="516">IF((M182="x"),-30,0)</f>
        <v>0</v>
      </c>
      <c r="O182" s="16">
        <f t="shared" si="456"/>
        <v>10</v>
      </c>
      <c r="P182" s="16">
        <f t="shared" si="457"/>
        <v>10</v>
      </c>
      <c r="Q182" s="16">
        <f t="shared" ref="Q182:Q186" si="517">IF(($Q$6&lt;&gt;0),$Q$6*-10,5)</f>
        <v>-10</v>
      </c>
      <c r="R182" s="14"/>
      <c r="S182" s="15">
        <f t="shared" ref="S182" si="518">R182*10</f>
        <v>0</v>
      </c>
      <c r="T182" s="14"/>
      <c r="U182" s="15">
        <f t="shared" ref="U182" si="519">T182*-15</f>
        <v>0</v>
      </c>
      <c r="V182" s="16">
        <f t="shared" ref="V182" si="520">IF(AND(R182=2),10,IF(R182=3,30,IF(R182=4,50,IF(R182=5,70,0))))</f>
        <v>0</v>
      </c>
      <c r="W182" s="17">
        <f t="shared" ref="W182" si="521">IF(G182="x",H182+J182+L182+N182+O182+P182+Q182+S182+U182+V182,0)</f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19</v>
      </c>
      <c r="D183" s="21" t="str">
        <f>Spieltag!B170</f>
        <v>Nathan Tella (A)</v>
      </c>
      <c r="E183" s="12" t="str">
        <f>Spieltag!C170</f>
        <v>Sturm</v>
      </c>
      <c r="F183" s="13" t="s">
        <v>56</v>
      </c>
      <c r="G183" s="14"/>
      <c r="H183" s="15">
        <f t="shared" ref="H183:H186" si="522">IF(G183="x",10,0)</f>
        <v>0</v>
      </c>
      <c r="I183" s="14"/>
      <c r="J183" s="15">
        <f t="shared" ref="J183:J186" si="523">IF((I183="x"),-10,0)</f>
        <v>0</v>
      </c>
      <c r="K183" s="14"/>
      <c r="L183" s="15">
        <f t="shared" ref="L183:L186" si="524">IF((K183="x"),-20,0)</f>
        <v>0</v>
      </c>
      <c r="M183" s="14"/>
      <c r="N183" s="15">
        <f t="shared" ref="N183:N186" si="525">IF((M183="x"),-30,0)</f>
        <v>0</v>
      </c>
      <c r="O183" s="16">
        <f t="shared" si="456"/>
        <v>10</v>
      </c>
      <c r="P183" s="16">
        <f t="shared" si="457"/>
        <v>10</v>
      </c>
      <c r="Q183" s="16">
        <f t="shared" si="517"/>
        <v>-10</v>
      </c>
      <c r="R183" s="14"/>
      <c r="S183" s="15">
        <f t="shared" ref="S183:S186" si="526">R183*10</f>
        <v>0</v>
      </c>
      <c r="T183" s="14"/>
      <c r="U183" s="15">
        <f t="shared" ref="U183:U186" si="527">T183*-15</f>
        <v>0</v>
      </c>
      <c r="V183" s="16">
        <f t="shared" ref="V183:V186" si="528">IF(AND(R183=2),10,IF(R183=3,30,IF(R183=4,50,IF(R183=5,70,0))))</f>
        <v>0</v>
      </c>
      <c r="W183" s="17">
        <f t="shared" ref="W183:W186" si="529">IF(G183="x",H183+J183+L183+N183+O183+P183+Q183+S183+U183+V183,0)</f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21</v>
      </c>
      <c r="D184" s="21" t="str">
        <f>Spieltag!B171</f>
        <v>Amine Adli (A)</v>
      </c>
      <c r="E184" s="12" t="str">
        <f>Spieltag!C171</f>
        <v>Sturm</v>
      </c>
      <c r="F184" s="13" t="s">
        <v>56</v>
      </c>
      <c r="G184" s="14"/>
      <c r="H184" s="15">
        <f t="shared" si="522"/>
        <v>0</v>
      </c>
      <c r="I184" s="14"/>
      <c r="J184" s="15">
        <f t="shared" si="523"/>
        <v>0</v>
      </c>
      <c r="K184" s="14"/>
      <c r="L184" s="15">
        <f t="shared" si="524"/>
        <v>0</v>
      </c>
      <c r="M184" s="14"/>
      <c r="N184" s="15">
        <f t="shared" si="525"/>
        <v>0</v>
      </c>
      <c r="O184" s="16">
        <f t="shared" si="456"/>
        <v>10</v>
      </c>
      <c r="P184" s="16">
        <f t="shared" si="457"/>
        <v>10</v>
      </c>
      <c r="Q184" s="16">
        <f t="shared" si="517"/>
        <v>-10</v>
      </c>
      <c r="R184" s="14"/>
      <c r="S184" s="15">
        <f t="shared" si="526"/>
        <v>0</v>
      </c>
      <c r="T184" s="14"/>
      <c r="U184" s="15">
        <f t="shared" si="527"/>
        <v>0</v>
      </c>
      <c r="V184" s="16">
        <f t="shared" si="528"/>
        <v>0</v>
      </c>
      <c r="W184" s="17">
        <f t="shared" si="529"/>
        <v>0</v>
      </c>
    </row>
    <row r="185" spans="1:23" ht="10.5" customHeight="1" x14ac:dyDescent="0.2">
      <c r="A185" s="11"/>
      <c r="B185" s="149">
        <f>COUNTA(Spieltag!K172:AA172)</f>
        <v>5</v>
      </c>
      <c r="C185" s="166">
        <f>Spieltag!A172</f>
        <v>22</v>
      </c>
      <c r="D185" s="21" t="str">
        <f>Spieltag!B172</f>
        <v>Victor Boniface (A)</v>
      </c>
      <c r="E185" s="12" t="str">
        <f>Spieltag!C172</f>
        <v>Sturm</v>
      </c>
      <c r="F185" s="13" t="s">
        <v>56</v>
      </c>
      <c r="G185" s="14" t="s">
        <v>661</v>
      </c>
      <c r="H185" s="15">
        <f t="shared" si="522"/>
        <v>10</v>
      </c>
      <c r="I185" s="14"/>
      <c r="J185" s="15">
        <f t="shared" si="523"/>
        <v>0</v>
      </c>
      <c r="K185" s="14"/>
      <c r="L185" s="15">
        <f t="shared" si="524"/>
        <v>0</v>
      </c>
      <c r="M185" s="14"/>
      <c r="N185" s="15">
        <f t="shared" si="525"/>
        <v>0</v>
      </c>
      <c r="O185" s="16">
        <f t="shared" si="456"/>
        <v>10</v>
      </c>
      <c r="P185" s="16">
        <f t="shared" si="457"/>
        <v>10</v>
      </c>
      <c r="Q185" s="16">
        <f t="shared" si="517"/>
        <v>-10</v>
      </c>
      <c r="R185" s="14">
        <v>1</v>
      </c>
      <c r="S185" s="15">
        <f t="shared" si="526"/>
        <v>10</v>
      </c>
      <c r="T185" s="14"/>
      <c r="U185" s="15">
        <f t="shared" si="527"/>
        <v>0</v>
      </c>
      <c r="V185" s="16">
        <f t="shared" si="528"/>
        <v>0</v>
      </c>
      <c r="W185" s="17">
        <f t="shared" si="529"/>
        <v>30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23</v>
      </c>
      <c r="D186" s="21" t="str">
        <f>Spieltag!B173</f>
        <v>Adam Hložek (A)</v>
      </c>
      <c r="E186" s="12" t="str">
        <f>Spieltag!C173</f>
        <v>Sturm</v>
      </c>
      <c r="F186" s="13" t="s">
        <v>56</v>
      </c>
      <c r="G186" s="14"/>
      <c r="H186" s="15">
        <f t="shared" si="522"/>
        <v>0</v>
      </c>
      <c r="I186" s="14"/>
      <c r="J186" s="15">
        <f t="shared" si="523"/>
        <v>0</v>
      </c>
      <c r="K186" s="14"/>
      <c r="L186" s="15">
        <f t="shared" si="524"/>
        <v>0</v>
      </c>
      <c r="M186" s="14"/>
      <c r="N186" s="15">
        <f t="shared" si="525"/>
        <v>0</v>
      </c>
      <c r="O186" s="16">
        <f t="shared" si="456"/>
        <v>10</v>
      </c>
      <c r="P186" s="16">
        <f t="shared" si="457"/>
        <v>10</v>
      </c>
      <c r="Q186" s="16">
        <f t="shared" si="517"/>
        <v>-10</v>
      </c>
      <c r="R186" s="14"/>
      <c r="S186" s="15">
        <f t="shared" si="526"/>
        <v>0</v>
      </c>
      <c r="T186" s="14"/>
      <c r="U186" s="15">
        <f t="shared" si="527"/>
        <v>0</v>
      </c>
      <c r="V186" s="16">
        <f t="shared" si="528"/>
        <v>0</v>
      </c>
      <c r="W186" s="17">
        <f t="shared" si="529"/>
        <v>0</v>
      </c>
    </row>
    <row r="187" spans="1:23" s="144" customFormat="1" ht="17.25" thickBot="1" x14ac:dyDescent="0.25">
      <c r="A187" s="142"/>
      <c r="B187" s="143">
        <f>SUM(B188:B224)</f>
        <v>9</v>
      </c>
      <c r="C187" s="158"/>
      <c r="D187" s="234" t="s">
        <v>106</v>
      </c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5"/>
    </row>
    <row r="188" spans="1:23" ht="10.5" customHeight="1" x14ac:dyDescent="0.2">
      <c r="A188" s="11"/>
      <c r="B188" s="150">
        <f>COUNTA(Spieltag!K175:AA175)</f>
        <v>5</v>
      </c>
      <c r="C188" s="166">
        <f>Spieltag!A175</f>
        <v>1</v>
      </c>
      <c r="D188" s="21" t="str">
        <f>Spieltag!B175</f>
        <v>Kevin Trapp</v>
      </c>
      <c r="E188" s="151" t="str">
        <f>Spieltag!C175</f>
        <v>Torwart</v>
      </c>
      <c r="F188" s="152" t="s">
        <v>103</v>
      </c>
      <c r="G188" s="153" t="s">
        <v>661</v>
      </c>
      <c r="H188" s="154">
        <f>IF(G188="x",10,0)</f>
        <v>10</v>
      </c>
      <c r="I188" s="153"/>
      <c r="J188" s="154">
        <f>IF((I188="x"),-10,0)</f>
        <v>0</v>
      </c>
      <c r="K188" s="153"/>
      <c r="L188" s="154">
        <f>IF((K188="x"),-20,0)</f>
        <v>0</v>
      </c>
      <c r="M188" s="153"/>
      <c r="N188" s="154">
        <f>IF((M188="x"),-30,0)</f>
        <v>0</v>
      </c>
      <c r="O188" s="155">
        <f>IF(AND($V$9&gt;$W$9),20,IF($V$9=$W$9,10,0))</f>
        <v>0</v>
      </c>
      <c r="P188" s="155">
        <f>IF(($V$9&lt;&gt;0),$V$9*10,-5)</f>
        <v>10</v>
      </c>
      <c r="Q188" s="155">
        <f>IF(($W$9&lt;&gt;0),$W$9*-10,20)</f>
        <v>-20</v>
      </c>
      <c r="R188" s="153"/>
      <c r="S188" s="154">
        <f>R188*20</f>
        <v>0</v>
      </c>
      <c r="T188" s="153"/>
      <c r="U188" s="154">
        <f>T188*-15</f>
        <v>0</v>
      </c>
      <c r="V188" s="155">
        <f>IF(AND(R188=2),10,IF(R188=3,30,IF(R188=4,50,IF(R188=5,70,0))))</f>
        <v>0</v>
      </c>
      <c r="W188" s="156">
        <f>IF(G188="x",H188+J188+L188+N188+O188+P188+Q188+S188+U188+V188,0)</f>
        <v>0</v>
      </c>
    </row>
    <row r="189" spans="1:23" ht="10.5" hidden="1" customHeight="1" x14ac:dyDescent="0.2">
      <c r="A189" s="11"/>
      <c r="B189" s="150">
        <f>COUNTA(Spieltag!K176:AA176)</f>
        <v>0</v>
      </c>
      <c r="C189" s="166">
        <f>Spieltag!A176</f>
        <v>31</v>
      </c>
      <c r="D189" s="21" t="str">
        <f>Spieltag!B176</f>
        <v>Jens Grahl</v>
      </c>
      <c r="E189" s="151" t="str">
        <f>Spieltag!C176</f>
        <v>Torwart</v>
      </c>
      <c r="F189" s="152" t="s">
        <v>103</v>
      </c>
      <c r="G189" s="153"/>
      <c r="H189" s="154">
        <f t="shared" ref="H189:H192" si="530">IF(G189="x",10,0)</f>
        <v>0</v>
      </c>
      <c r="I189" s="153"/>
      <c r="J189" s="154">
        <f t="shared" ref="J189:J192" si="531">IF((I189="x"),-10,0)</f>
        <v>0</v>
      </c>
      <c r="K189" s="153"/>
      <c r="L189" s="154">
        <f t="shared" ref="L189:L192" si="532">IF((K189="x"),-20,0)</f>
        <v>0</v>
      </c>
      <c r="M189" s="153"/>
      <c r="N189" s="154">
        <f t="shared" ref="N189:N192" si="533">IF((M189="x"),-30,0)</f>
        <v>0</v>
      </c>
      <c r="O189" s="155">
        <f t="shared" ref="O189:O192" si="534">IF(AND($V$9&gt;$W$9),20,IF($V$9=$W$9,10,0))</f>
        <v>0</v>
      </c>
      <c r="P189" s="155">
        <f t="shared" ref="P189:P192" si="535">IF(($V$9&lt;&gt;0),$V$9*10,-5)</f>
        <v>10</v>
      </c>
      <c r="Q189" s="155">
        <f t="shared" ref="Q189:Q192" si="536">IF(($W$9&lt;&gt;0),$W$9*-10,20)</f>
        <v>-20</v>
      </c>
      <c r="R189" s="153"/>
      <c r="S189" s="154">
        <f t="shared" ref="S189:S192" si="537">R189*20</f>
        <v>0</v>
      </c>
      <c r="T189" s="153"/>
      <c r="U189" s="154">
        <f t="shared" ref="U189:U192" si="538">T189*-15</f>
        <v>0</v>
      </c>
      <c r="V189" s="155">
        <f t="shared" ref="V189:V192" si="539">IF(AND(R189=2),10,IF(R189=3,30,IF(R189=4,50,IF(R189=5,70,0))))</f>
        <v>0</v>
      </c>
      <c r="W189" s="156">
        <f t="shared" ref="W189:W192" si="540">IF(G189="x",H189+J189+L189+N189+O189+P189+Q189+S189+U189+V189,0)</f>
        <v>0</v>
      </c>
    </row>
    <row r="190" spans="1:23" ht="10.5" hidden="1" customHeight="1" x14ac:dyDescent="0.2">
      <c r="A190" s="11"/>
      <c r="B190" s="150">
        <f>COUNTA(Spieltag!K177:AA177)</f>
        <v>0</v>
      </c>
      <c r="C190" s="166">
        <f>Spieltag!A177</f>
        <v>40</v>
      </c>
      <c r="D190" s="21" t="str">
        <f>Spieltag!B177</f>
        <v>Kauã Santos (A)</v>
      </c>
      <c r="E190" s="151" t="str">
        <f>Spieltag!C177</f>
        <v>Torwart</v>
      </c>
      <c r="F190" s="152" t="s">
        <v>103</v>
      </c>
      <c r="G190" s="153"/>
      <c r="H190" s="154">
        <f t="shared" si="530"/>
        <v>0</v>
      </c>
      <c r="I190" s="153"/>
      <c r="J190" s="154">
        <f t="shared" si="531"/>
        <v>0</v>
      </c>
      <c r="K190" s="153"/>
      <c r="L190" s="154">
        <f t="shared" si="532"/>
        <v>0</v>
      </c>
      <c r="M190" s="153"/>
      <c r="N190" s="154">
        <f t="shared" si="533"/>
        <v>0</v>
      </c>
      <c r="O190" s="155">
        <f t="shared" si="534"/>
        <v>0</v>
      </c>
      <c r="P190" s="155">
        <f t="shared" si="535"/>
        <v>10</v>
      </c>
      <c r="Q190" s="155">
        <f t="shared" si="536"/>
        <v>-20</v>
      </c>
      <c r="R190" s="153"/>
      <c r="S190" s="154">
        <f t="shared" si="537"/>
        <v>0</v>
      </c>
      <c r="T190" s="153"/>
      <c r="U190" s="154">
        <f t="shared" si="538"/>
        <v>0</v>
      </c>
      <c r="V190" s="155">
        <f t="shared" si="539"/>
        <v>0</v>
      </c>
      <c r="W190" s="156">
        <f t="shared" si="540"/>
        <v>0</v>
      </c>
    </row>
    <row r="191" spans="1:23" ht="10.5" hidden="1" customHeight="1" x14ac:dyDescent="0.2">
      <c r="A191" s="11"/>
      <c r="B191" s="150">
        <f>COUNTA(Spieltag!K178:AA178)</f>
        <v>0</v>
      </c>
      <c r="C191" s="166">
        <f>Spieltag!A178</f>
        <v>41</v>
      </c>
      <c r="D191" s="21" t="str">
        <f>Spieltag!B178</f>
        <v>Simon Simoni (A)</v>
      </c>
      <c r="E191" s="151" t="str">
        <f>Spieltag!C178</f>
        <v>Torwart</v>
      </c>
      <c r="F191" s="152" t="s">
        <v>103</v>
      </c>
      <c r="G191" s="153"/>
      <c r="H191" s="154">
        <f t="shared" ref="H191" si="541">IF(G191="x",10,0)</f>
        <v>0</v>
      </c>
      <c r="I191" s="153"/>
      <c r="J191" s="154">
        <f t="shared" ref="J191" si="542">IF((I191="x"),-10,0)</f>
        <v>0</v>
      </c>
      <c r="K191" s="153"/>
      <c r="L191" s="154">
        <f t="shared" ref="L191" si="543">IF((K191="x"),-20,0)</f>
        <v>0</v>
      </c>
      <c r="M191" s="153"/>
      <c r="N191" s="154">
        <f t="shared" ref="N191" si="544">IF((M191="x"),-30,0)</f>
        <v>0</v>
      </c>
      <c r="O191" s="155">
        <f t="shared" si="534"/>
        <v>0</v>
      </c>
      <c r="P191" s="155">
        <f t="shared" si="535"/>
        <v>10</v>
      </c>
      <c r="Q191" s="155">
        <f t="shared" si="536"/>
        <v>-20</v>
      </c>
      <c r="R191" s="153"/>
      <c r="S191" s="154">
        <f t="shared" ref="S191" si="545">R191*20</f>
        <v>0</v>
      </c>
      <c r="T191" s="153"/>
      <c r="U191" s="154">
        <f t="shared" ref="U191" si="546">T191*-15</f>
        <v>0</v>
      </c>
      <c r="V191" s="155">
        <f t="shared" ref="V191" si="547">IF(AND(R191=2),10,IF(R191=3,30,IF(R191=4,50,IF(R191=5,70,0))))</f>
        <v>0</v>
      </c>
      <c r="W191" s="156">
        <f t="shared" ref="W191" si="548">IF(G191="x",H191+J191+L191+N191+O191+P191+Q191+S191+U191+V191,0)</f>
        <v>0</v>
      </c>
    </row>
    <row r="192" spans="1:23" ht="10.5" hidden="1" customHeight="1" x14ac:dyDescent="0.2">
      <c r="A192" s="11"/>
      <c r="B192" s="150">
        <f>COUNTA(Spieltag!K179:AA179)</f>
        <v>0</v>
      </c>
      <c r="C192" s="166">
        <f>Spieltag!A179</f>
        <v>43</v>
      </c>
      <c r="D192" s="21" t="str">
        <f>Spieltag!B179</f>
        <v>Luke Grauer</v>
      </c>
      <c r="E192" s="151" t="str">
        <f>Spieltag!C179</f>
        <v>Torwart</v>
      </c>
      <c r="F192" s="152" t="s">
        <v>103</v>
      </c>
      <c r="G192" s="153"/>
      <c r="H192" s="154">
        <f t="shared" si="530"/>
        <v>0</v>
      </c>
      <c r="I192" s="153"/>
      <c r="J192" s="154">
        <f t="shared" si="531"/>
        <v>0</v>
      </c>
      <c r="K192" s="153"/>
      <c r="L192" s="154">
        <f t="shared" si="532"/>
        <v>0</v>
      </c>
      <c r="M192" s="153"/>
      <c r="N192" s="154">
        <f t="shared" si="533"/>
        <v>0</v>
      </c>
      <c r="O192" s="155">
        <f t="shared" si="534"/>
        <v>0</v>
      </c>
      <c r="P192" s="155">
        <f t="shared" si="535"/>
        <v>10</v>
      </c>
      <c r="Q192" s="155">
        <f t="shared" si="536"/>
        <v>-20</v>
      </c>
      <c r="R192" s="153"/>
      <c r="S192" s="154">
        <f t="shared" si="537"/>
        <v>0</v>
      </c>
      <c r="T192" s="153"/>
      <c r="U192" s="154">
        <f t="shared" si="538"/>
        <v>0</v>
      </c>
      <c r="V192" s="155">
        <f t="shared" si="539"/>
        <v>0</v>
      </c>
      <c r="W192" s="156">
        <f t="shared" si="540"/>
        <v>0</v>
      </c>
    </row>
    <row r="193" spans="1:23" ht="10.5" hidden="1" customHeight="1" x14ac:dyDescent="0.2">
      <c r="A193" s="11"/>
      <c r="B193" s="150">
        <f>COUNTA(Spieltag!K180:AA180)</f>
        <v>0</v>
      </c>
      <c r="C193" s="166">
        <f>Spieltag!A180</f>
        <v>3</v>
      </c>
      <c r="D193" s="21" t="str">
        <f>Spieltag!B180</f>
        <v>Willian Pacho (A)</v>
      </c>
      <c r="E193" s="151" t="str">
        <f>Spieltag!C180</f>
        <v>Abwehr</v>
      </c>
      <c r="F193" s="152" t="s">
        <v>103</v>
      </c>
      <c r="G193" s="153"/>
      <c r="H193" s="154">
        <f>IF(G193="x",10,0)</f>
        <v>0</v>
      </c>
      <c r="I193" s="153"/>
      <c r="J193" s="154">
        <f>IF((I193="x"),-10,0)</f>
        <v>0</v>
      </c>
      <c r="K193" s="153"/>
      <c r="L193" s="154">
        <f>IF((K193="x"),-20,0)</f>
        <v>0</v>
      </c>
      <c r="M193" s="153"/>
      <c r="N193" s="154">
        <f>IF((M193="x"),-30,0)</f>
        <v>0</v>
      </c>
      <c r="O193" s="155">
        <f t="shared" ref="O193:O203" si="549">IF(AND($V$9&gt;$W$9),20,IF($V$9=$W$9,10,0))</f>
        <v>0</v>
      </c>
      <c r="P193" s="155">
        <f t="shared" ref="P193:P203" si="550">IF(($V$9&lt;&gt;0),$V$9*10,-5)</f>
        <v>10</v>
      </c>
      <c r="Q193" s="155">
        <f t="shared" ref="Q193:Q203" si="551">IF(($W$9&lt;&gt;0),$W$9*-10,15)</f>
        <v>-20</v>
      </c>
      <c r="R193" s="153"/>
      <c r="S193" s="154">
        <f>R193*15</f>
        <v>0</v>
      </c>
      <c r="T193" s="153"/>
      <c r="U193" s="154">
        <f>T193*-15</f>
        <v>0</v>
      </c>
      <c r="V193" s="155">
        <f>IF(AND(R193=2),10,IF(R193=3,30,IF(R193=4,50,IF(R193=5,70,0))))</f>
        <v>0</v>
      </c>
      <c r="W193" s="156">
        <f>IF(G193="x",H193+J193+L193+N193+O193+P193+Q193+S193+U193+V193,0)</f>
        <v>0</v>
      </c>
    </row>
    <row r="194" spans="1:23" ht="10.5" hidden="1" customHeight="1" x14ac:dyDescent="0.2">
      <c r="A194" s="11"/>
      <c r="B194" s="150">
        <f>COUNTA(Spieltag!K181:AA181)</f>
        <v>0</v>
      </c>
      <c r="C194" s="166">
        <f>Spieltag!A181</f>
        <v>4</v>
      </c>
      <c r="D194" s="21" t="str">
        <f>Spieltag!B181</f>
        <v>Robin Koch</v>
      </c>
      <c r="E194" s="151" t="str">
        <f>Spieltag!C181</f>
        <v>Abwehr</v>
      </c>
      <c r="F194" s="152" t="s">
        <v>103</v>
      </c>
      <c r="G194" s="153"/>
      <c r="H194" s="154">
        <f t="shared" ref="H194:H203" si="552">IF(G194="x",10,0)</f>
        <v>0</v>
      </c>
      <c r="I194" s="153"/>
      <c r="J194" s="154">
        <f t="shared" ref="J194:J203" si="553">IF((I194="x"),-10,0)</f>
        <v>0</v>
      </c>
      <c r="K194" s="153"/>
      <c r="L194" s="154">
        <f t="shared" ref="L194:L203" si="554">IF((K194="x"),-20,0)</f>
        <v>0</v>
      </c>
      <c r="M194" s="153"/>
      <c r="N194" s="154">
        <f t="shared" ref="N194:N203" si="555">IF((M194="x"),-30,0)</f>
        <v>0</v>
      </c>
      <c r="O194" s="155">
        <f t="shared" si="549"/>
        <v>0</v>
      </c>
      <c r="P194" s="155">
        <f t="shared" si="550"/>
        <v>10</v>
      </c>
      <c r="Q194" s="155">
        <f t="shared" si="551"/>
        <v>-20</v>
      </c>
      <c r="R194" s="153"/>
      <c r="S194" s="154">
        <f t="shared" ref="S194:S203" si="556">R194*15</f>
        <v>0</v>
      </c>
      <c r="T194" s="153"/>
      <c r="U194" s="154">
        <f t="shared" ref="U194:U203" si="557">T194*-15</f>
        <v>0</v>
      </c>
      <c r="V194" s="155">
        <f t="shared" ref="V194:V203" si="558">IF(AND(R194=2),10,IF(R194=3,30,IF(R194=4,50,IF(R194=5,70,0))))</f>
        <v>0</v>
      </c>
      <c r="W194" s="156">
        <f t="shared" ref="W194:W203" si="559">IF(G194="x",H194+J194+L194+N194+O194+P194+Q194+S194+U194+V194,0)</f>
        <v>0</v>
      </c>
    </row>
    <row r="195" spans="1:23" ht="10.5" hidden="1" customHeight="1" x14ac:dyDescent="0.2">
      <c r="A195" s="11"/>
      <c r="B195" s="150">
        <f>COUNTA(Spieltag!K182:AA182)</f>
        <v>0</v>
      </c>
      <c r="C195" s="166">
        <f>Spieltag!A182</f>
        <v>5</v>
      </c>
      <c r="D195" s="21" t="str">
        <f>Spieltag!B182</f>
        <v>Hrvoje Smolčić (A)</v>
      </c>
      <c r="E195" s="151" t="str">
        <f>Spieltag!C182</f>
        <v>Abwehr</v>
      </c>
      <c r="F195" s="152" t="s">
        <v>103</v>
      </c>
      <c r="G195" s="153"/>
      <c r="H195" s="154">
        <f t="shared" si="552"/>
        <v>0</v>
      </c>
      <c r="I195" s="153"/>
      <c r="J195" s="154">
        <f t="shared" si="553"/>
        <v>0</v>
      </c>
      <c r="K195" s="153"/>
      <c r="L195" s="154">
        <f t="shared" si="554"/>
        <v>0</v>
      </c>
      <c r="M195" s="153"/>
      <c r="N195" s="154">
        <f t="shared" si="555"/>
        <v>0</v>
      </c>
      <c r="O195" s="155">
        <f t="shared" si="549"/>
        <v>0</v>
      </c>
      <c r="P195" s="155">
        <f t="shared" si="550"/>
        <v>10</v>
      </c>
      <c r="Q195" s="155">
        <f t="shared" si="551"/>
        <v>-20</v>
      </c>
      <c r="R195" s="153"/>
      <c r="S195" s="154">
        <f t="shared" si="556"/>
        <v>0</v>
      </c>
      <c r="T195" s="153"/>
      <c r="U195" s="154">
        <f t="shared" si="557"/>
        <v>0</v>
      </c>
      <c r="V195" s="155">
        <f t="shared" si="558"/>
        <v>0</v>
      </c>
      <c r="W195" s="156">
        <f t="shared" si="559"/>
        <v>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20</v>
      </c>
      <c r="D196" s="21" t="str">
        <f>Spieltag!B183</f>
        <v>Makoto Hasebe (A)</v>
      </c>
      <c r="E196" s="151" t="str">
        <f>Spieltag!C183</f>
        <v>Abwehr</v>
      </c>
      <c r="F196" s="152" t="s">
        <v>103</v>
      </c>
      <c r="G196" s="153"/>
      <c r="H196" s="154">
        <f t="shared" si="552"/>
        <v>0</v>
      </c>
      <c r="I196" s="153"/>
      <c r="J196" s="154">
        <f t="shared" si="553"/>
        <v>0</v>
      </c>
      <c r="K196" s="153"/>
      <c r="L196" s="154">
        <f t="shared" si="554"/>
        <v>0</v>
      </c>
      <c r="M196" s="153"/>
      <c r="N196" s="154">
        <f t="shared" si="555"/>
        <v>0</v>
      </c>
      <c r="O196" s="155">
        <f t="shared" si="549"/>
        <v>0</v>
      </c>
      <c r="P196" s="155">
        <f t="shared" si="550"/>
        <v>10</v>
      </c>
      <c r="Q196" s="155">
        <f t="shared" si="551"/>
        <v>-20</v>
      </c>
      <c r="R196" s="153"/>
      <c r="S196" s="154">
        <f t="shared" si="556"/>
        <v>0</v>
      </c>
      <c r="T196" s="153"/>
      <c r="U196" s="154">
        <f t="shared" si="557"/>
        <v>0</v>
      </c>
      <c r="V196" s="155">
        <f t="shared" si="558"/>
        <v>0</v>
      </c>
      <c r="W196" s="156">
        <f t="shared" si="559"/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24</v>
      </c>
      <c r="D197" s="21" t="str">
        <f>Spieltag!B184</f>
        <v>Aurélio Buta (A)</v>
      </c>
      <c r="E197" s="151" t="str">
        <f>Spieltag!C184</f>
        <v>Abwehr</v>
      </c>
      <c r="F197" s="152" t="s">
        <v>103</v>
      </c>
      <c r="G197" s="153"/>
      <c r="H197" s="154">
        <f t="shared" si="552"/>
        <v>0</v>
      </c>
      <c r="I197" s="153"/>
      <c r="J197" s="154">
        <f t="shared" si="553"/>
        <v>0</v>
      </c>
      <c r="K197" s="153"/>
      <c r="L197" s="154">
        <f t="shared" si="554"/>
        <v>0</v>
      </c>
      <c r="M197" s="153"/>
      <c r="N197" s="154">
        <f t="shared" si="555"/>
        <v>0</v>
      </c>
      <c r="O197" s="155">
        <f t="shared" si="549"/>
        <v>0</v>
      </c>
      <c r="P197" s="155">
        <f t="shared" si="550"/>
        <v>10</v>
      </c>
      <c r="Q197" s="155">
        <f t="shared" si="551"/>
        <v>-20</v>
      </c>
      <c r="R197" s="153"/>
      <c r="S197" s="154">
        <f t="shared" si="556"/>
        <v>0</v>
      </c>
      <c r="T197" s="153"/>
      <c r="U197" s="154">
        <f t="shared" si="557"/>
        <v>0</v>
      </c>
      <c r="V197" s="155">
        <f t="shared" si="558"/>
        <v>0</v>
      </c>
      <c r="W197" s="156">
        <f t="shared" si="55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29</v>
      </c>
      <c r="D198" s="21" t="str">
        <f>Spieltag!B185</f>
        <v>Niels Nkounkou (A)</v>
      </c>
      <c r="E198" s="151" t="str">
        <f>Spieltag!C185</f>
        <v>Abwehr</v>
      </c>
      <c r="F198" s="152" t="s">
        <v>103</v>
      </c>
      <c r="G198" s="153"/>
      <c r="H198" s="154">
        <f t="shared" si="552"/>
        <v>0</v>
      </c>
      <c r="I198" s="153"/>
      <c r="J198" s="154">
        <f t="shared" si="553"/>
        <v>0</v>
      </c>
      <c r="K198" s="153"/>
      <c r="L198" s="154">
        <f t="shared" si="554"/>
        <v>0</v>
      </c>
      <c r="M198" s="153"/>
      <c r="N198" s="154">
        <f t="shared" si="555"/>
        <v>0</v>
      </c>
      <c r="O198" s="155">
        <f t="shared" si="549"/>
        <v>0</v>
      </c>
      <c r="P198" s="155">
        <f t="shared" si="550"/>
        <v>10</v>
      </c>
      <c r="Q198" s="155">
        <f t="shared" si="551"/>
        <v>-20</v>
      </c>
      <c r="R198" s="153"/>
      <c r="S198" s="154">
        <f t="shared" si="556"/>
        <v>0</v>
      </c>
      <c r="T198" s="153"/>
      <c r="U198" s="154">
        <f t="shared" si="557"/>
        <v>0</v>
      </c>
      <c r="V198" s="155">
        <f t="shared" si="558"/>
        <v>0</v>
      </c>
      <c r="W198" s="156">
        <f t="shared" si="559"/>
        <v>0</v>
      </c>
    </row>
    <row r="199" spans="1:23" ht="10.5" customHeight="1" x14ac:dyDescent="0.2">
      <c r="A199" s="11"/>
      <c r="B199" s="150">
        <f>COUNTA(Spieltag!K186:AA186)</f>
        <v>3</v>
      </c>
      <c r="C199" s="166">
        <f>Spieltag!A186</f>
        <v>31</v>
      </c>
      <c r="D199" s="21" t="str">
        <f>Spieltag!B186</f>
        <v>Philipp Max</v>
      </c>
      <c r="E199" s="151" t="str">
        <f>Spieltag!C186</f>
        <v>Abwehr</v>
      </c>
      <c r="F199" s="152" t="s">
        <v>103</v>
      </c>
      <c r="G199" s="153" t="s">
        <v>661</v>
      </c>
      <c r="H199" s="154">
        <f t="shared" ref="H199" si="560">IF(G199="x",10,0)</f>
        <v>10</v>
      </c>
      <c r="I199" s="153"/>
      <c r="J199" s="154">
        <f t="shared" ref="J199" si="561">IF((I199="x"),-10,0)</f>
        <v>0</v>
      </c>
      <c r="K199" s="153"/>
      <c r="L199" s="154">
        <f t="shared" ref="L199" si="562">IF((K199="x"),-20,0)</f>
        <v>0</v>
      </c>
      <c r="M199" s="153"/>
      <c r="N199" s="154">
        <f t="shared" ref="N199" si="563">IF((M199="x"),-30,0)</f>
        <v>0</v>
      </c>
      <c r="O199" s="155">
        <f t="shared" si="549"/>
        <v>0</v>
      </c>
      <c r="P199" s="155">
        <f t="shared" si="550"/>
        <v>10</v>
      </c>
      <c r="Q199" s="155">
        <f t="shared" si="551"/>
        <v>-20</v>
      </c>
      <c r="R199" s="153"/>
      <c r="S199" s="154">
        <f t="shared" ref="S199" si="564">R199*15</f>
        <v>0</v>
      </c>
      <c r="T199" s="153"/>
      <c r="U199" s="154">
        <f t="shared" ref="U199" si="565">T199*-15</f>
        <v>0</v>
      </c>
      <c r="V199" s="155">
        <f t="shared" ref="V199" si="566">IF(AND(R199=2),10,IF(R199=3,30,IF(R199=4,50,IF(R199=5,70,0))))</f>
        <v>0</v>
      </c>
      <c r="W199" s="156">
        <f t="shared" ref="W199" si="567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34</v>
      </c>
      <c r="D200" s="21" t="str">
        <f>Spieltag!B187</f>
        <v>Nnamdi Collins</v>
      </c>
      <c r="E200" s="151" t="str">
        <f>Spieltag!C187</f>
        <v>Abwehr</v>
      </c>
      <c r="F200" s="152" t="s">
        <v>103</v>
      </c>
      <c r="G200" s="153"/>
      <c r="H200" s="154">
        <f t="shared" si="552"/>
        <v>0</v>
      </c>
      <c r="I200" s="153"/>
      <c r="J200" s="154">
        <f t="shared" si="553"/>
        <v>0</v>
      </c>
      <c r="K200" s="153"/>
      <c r="L200" s="154">
        <f t="shared" si="554"/>
        <v>0</v>
      </c>
      <c r="M200" s="153"/>
      <c r="N200" s="154">
        <f t="shared" si="555"/>
        <v>0</v>
      </c>
      <c r="O200" s="155">
        <f t="shared" si="549"/>
        <v>0</v>
      </c>
      <c r="P200" s="155">
        <f t="shared" si="550"/>
        <v>10</v>
      </c>
      <c r="Q200" s="155">
        <f t="shared" si="551"/>
        <v>-20</v>
      </c>
      <c r="R200" s="153"/>
      <c r="S200" s="154">
        <f t="shared" si="556"/>
        <v>0</v>
      </c>
      <c r="T200" s="153"/>
      <c r="U200" s="154">
        <f t="shared" si="557"/>
        <v>0</v>
      </c>
      <c r="V200" s="155">
        <f t="shared" si="558"/>
        <v>0</v>
      </c>
      <c r="W200" s="156">
        <f t="shared" si="559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35</v>
      </c>
      <c r="D201" s="21" t="str">
        <f>Spieltag!B188</f>
        <v>Tuta (A)</v>
      </c>
      <c r="E201" s="151" t="str">
        <f>Spieltag!C188</f>
        <v>Abwehr</v>
      </c>
      <c r="F201" s="152" t="s">
        <v>103</v>
      </c>
      <c r="G201" s="153"/>
      <c r="H201" s="154">
        <f t="shared" si="552"/>
        <v>0</v>
      </c>
      <c r="I201" s="153"/>
      <c r="J201" s="154">
        <f t="shared" si="553"/>
        <v>0</v>
      </c>
      <c r="K201" s="153"/>
      <c r="L201" s="154">
        <f t="shared" si="554"/>
        <v>0</v>
      </c>
      <c r="M201" s="153"/>
      <c r="N201" s="154">
        <f t="shared" si="555"/>
        <v>0</v>
      </c>
      <c r="O201" s="155">
        <f t="shared" si="549"/>
        <v>0</v>
      </c>
      <c r="P201" s="155">
        <f t="shared" si="550"/>
        <v>10</v>
      </c>
      <c r="Q201" s="155">
        <f t="shared" si="551"/>
        <v>-20</v>
      </c>
      <c r="R201" s="153"/>
      <c r="S201" s="154">
        <f t="shared" si="556"/>
        <v>0</v>
      </c>
      <c r="T201" s="153"/>
      <c r="U201" s="154">
        <f t="shared" si="557"/>
        <v>0</v>
      </c>
      <c r="V201" s="155">
        <f t="shared" si="558"/>
        <v>0</v>
      </c>
      <c r="W201" s="156">
        <f t="shared" si="559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46</v>
      </c>
      <c r="D202" s="21" t="str">
        <f>Spieltag!B189</f>
        <v>Dario Gebuhr</v>
      </c>
      <c r="E202" s="151" t="str">
        <f>Spieltag!C189</f>
        <v>Abwehr</v>
      </c>
      <c r="F202" s="152" t="s">
        <v>103</v>
      </c>
      <c r="G202" s="153"/>
      <c r="H202" s="154">
        <f t="shared" si="552"/>
        <v>0</v>
      </c>
      <c r="I202" s="153"/>
      <c r="J202" s="154">
        <f t="shared" si="553"/>
        <v>0</v>
      </c>
      <c r="K202" s="153"/>
      <c r="L202" s="154">
        <f t="shared" si="554"/>
        <v>0</v>
      </c>
      <c r="M202" s="153"/>
      <c r="N202" s="154">
        <f t="shared" si="555"/>
        <v>0</v>
      </c>
      <c r="O202" s="155">
        <f t="shared" si="549"/>
        <v>0</v>
      </c>
      <c r="P202" s="155">
        <f t="shared" si="550"/>
        <v>10</v>
      </c>
      <c r="Q202" s="155">
        <f t="shared" si="551"/>
        <v>-20</v>
      </c>
      <c r="R202" s="153"/>
      <c r="S202" s="154">
        <f t="shared" si="556"/>
        <v>0</v>
      </c>
      <c r="T202" s="153"/>
      <c r="U202" s="154">
        <f t="shared" si="557"/>
        <v>0</v>
      </c>
      <c r="V202" s="155">
        <f t="shared" si="558"/>
        <v>0</v>
      </c>
      <c r="W202" s="156">
        <f t="shared" si="559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47</v>
      </c>
      <c r="D203" s="21" t="str">
        <f>Spieltag!B190</f>
        <v>Elias Baum</v>
      </c>
      <c r="E203" s="151" t="str">
        <f>Spieltag!C190</f>
        <v>Abwehr</v>
      </c>
      <c r="F203" s="152" t="s">
        <v>103</v>
      </c>
      <c r="G203" s="153"/>
      <c r="H203" s="154">
        <f t="shared" si="552"/>
        <v>0</v>
      </c>
      <c r="I203" s="153"/>
      <c r="J203" s="154">
        <f t="shared" si="553"/>
        <v>0</v>
      </c>
      <c r="K203" s="153"/>
      <c r="L203" s="154">
        <f t="shared" si="554"/>
        <v>0</v>
      </c>
      <c r="M203" s="153"/>
      <c r="N203" s="154">
        <f t="shared" si="555"/>
        <v>0</v>
      </c>
      <c r="O203" s="155">
        <f t="shared" si="549"/>
        <v>0</v>
      </c>
      <c r="P203" s="155">
        <f t="shared" si="550"/>
        <v>10</v>
      </c>
      <c r="Q203" s="155">
        <f t="shared" si="551"/>
        <v>-20</v>
      </c>
      <c r="R203" s="153"/>
      <c r="S203" s="154">
        <f t="shared" si="556"/>
        <v>0</v>
      </c>
      <c r="T203" s="153"/>
      <c r="U203" s="154">
        <f t="shared" si="557"/>
        <v>0</v>
      </c>
      <c r="V203" s="155">
        <f t="shared" si="558"/>
        <v>0</v>
      </c>
      <c r="W203" s="156">
        <f t="shared" si="559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6</v>
      </c>
      <c r="D204" s="21" t="str">
        <f>Spieltag!B191</f>
        <v>Kristijan Jakić (A)</v>
      </c>
      <c r="E204" s="151" t="str">
        <f>Spieltag!C191</f>
        <v>Mittelfeld</v>
      </c>
      <c r="F204" s="152" t="s">
        <v>103</v>
      </c>
      <c r="G204" s="153"/>
      <c r="H204" s="154">
        <f>IF(G204="x",10,0)</f>
        <v>0</v>
      </c>
      <c r="I204" s="153"/>
      <c r="J204" s="154">
        <f>IF((I204="x"),-10,0)</f>
        <v>0</v>
      </c>
      <c r="K204" s="153"/>
      <c r="L204" s="154">
        <f>IF((K204="x"),-20,0)</f>
        <v>0</v>
      </c>
      <c r="M204" s="153"/>
      <c r="N204" s="154">
        <f>IF((M204="x"),-30,0)</f>
        <v>0</v>
      </c>
      <c r="O204" s="155">
        <f t="shared" ref="O204:O217" si="568">IF(AND($V$9&gt;$W$9),20,IF($V$9=$W$9,10,0))</f>
        <v>0</v>
      </c>
      <c r="P204" s="155">
        <f t="shared" ref="P204:P217" si="569">IF(($V$9&lt;&gt;0),$V$9*10,-5)</f>
        <v>10</v>
      </c>
      <c r="Q204" s="155">
        <f t="shared" ref="Q204:Q217" si="570">IF(($W$9&lt;&gt;0),$W$9*-10,10)</f>
        <v>-20</v>
      </c>
      <c r="R204" s="153"/>
      <c r="S204" s="154">
        <f>R204*10</f>
        <v>0</v>
      </c>
      <c r="T204" s="153"/>
      <c r="U204" s="154">
        <f>T204*-15</f>
        <v>0</v>
      </c>
      <c r="V204" s="155">
        <f>IF(AND(R204=2),10,IF(R204=3,30,IF(R204=4,50,IF(R204=5,70,0))))</f>
        <v>0</v>
      </c>
      <c r="W204" s="156">
        <f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8</v>
      </c>
      <c r="D205" s="21" t="str">
        <f>Spieltag!B192</f>
        <v>Farès Chaibi (A)</v>
      </c>
      <c r="E205" s="151" t="str">
        <f>Spieltag!C192</f>
        <v>Mittelfeld</v>
      </c>
      <c r="F205" s="152" t="s">
        <v>103</v>
      </c>
      <c r="G205" s="153"/>
      <c r="H205" s="154">
        <f>IF(G205="x",10,0)</f>
        <v>0</v>
      </c>
      <c r="I205" s="153"/>
      <c r="J205" s="154">
        <f>IF((I205="x"),-10,0)</f>
        <v>0</v>
      </c>
      <c r="K205" s="153"/>
      <c r="L205" s="154">
        <f>IF((K205="x"),-20,0)</f>
        <v>0</v>
      </c>
      <c r="M205" s="153"/>
      <c r="N205" s="154">
        <f>IF((M205="x"),-30,0)</f>
        <v>0</v>
      </c>
      <c r="O205" s="155">
        <f t="shared" si="568"/>
        <v>0</v>
      </c>
      <c r="P205" s="155">
        <f t="shared" si="569"/>
        <v>10</v>
      </c>
      <c r="Q205" s="155">
        <f t="shared" si="570"/>
        <v>-20</v>
      </c>
      <c r="R205" s="153"/>
      <c r="S205" s="154">
        <f>R205*10</f>
        <v>0</v>
      </c>
      <c r="T205" s="153"/>
      <c r="U205" s="154">
        <f>T205*-15</f>
        <v>0</v>
      </c>
      <c r="V205" s="155">
        <f>IF(AND(R205=2),10,IF(R205=3,30,IF(R205=4,50,IF(R205=5,70,0))))</f>
        <v>0</v>
      </c>
      <c r="W205" s="156">
        <f>IF(G205="x",H205+J205+L205+N205+O205+P205+Q205+S205+U205+V205,0)</f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15</v>
      </c>
      <c r="D206" s="21" t="str">
        <f>Spieltag!B193</f>
        <v>Ellyes Skhiri (A)</v>
      </c>
      <c r="E206" s="151" t="str">
        <f>Spieltag!C193</f>
        <v>Mittelfeld</v>
      </c>
      <c r="F206" s="152" t="s">
        <v>103</v>
      </c>
      <c r="G206" s="153"/>
      <c r="H206" s="154">
        <f t="shared" ref="H206:H212" si="571">IF(G206="x",10,0)</f>
        <v>0</v>
      </c>
      <c r="I206" s="153"/>
      <c r="J206" s="154">
        <f t="shared" ref="J206:J212" si="572">IF((I206="x"),-10,0)</f>
        <v>0</v>
      </c>
      <c r="K206" s="153"/>
      <c r="L206" s="154">
        <f t="shared" ref="L206:L212" si="573">IF((K206="x"),-20,0)</f>
        <v>0</v>
      </c>
      <c r="M206" s="153"/>
      <c r="N206" s="154">
        <f t="shared" ref="N206:N212" si="574">IF((M206="x"),-30,0)</f>
        <v>0</v>
      </c>
      <c r="O206" s="155">
        <f t="shared" si="568"/>
        <v>0</v>
      </c>
      <c r="P206" s="155">
        <f t="shared" si="569"/>
        <v>10</v>
      </c>
      <c r="Q206" s="155">
        <f t="shared" si="570"/>
        <v>-20</v>
      </c>
      <c r="R206" s="153"/>
      <c r="S206" s="154">
        <f t="shared" ref="S206:S212" si="575">R206*10</f>
        <v>0</v>
      </c>
      <c r="T206" s="153"/>
      <c r="U206" s="154">
        <f t="shared" ref="U206:U212" si="576">T206*-15</f>
        <v>0</v>
      </c>
      <c r="V206" s="155">
        <f t="shared" ref="V206:V212" si="577">IF(AND(R206=2),10,IF(R206=3,30,IF(R206=4,50,IF(R206=5,70,0))))</f>
        <v>0</v>
      </c>
      <c r="W206" s="156">
        <f t="shared" ref="W206:W212" si="578">IF(G206="x",H206+J206+L206+N206+O206+P206+Q206+S206+U206+V206,0)</f>
        <v>0</v>
      </c>
    </row>
    <row r="207" spans="1:23" ht="10.5" customHeight="1" x14ac:dyDescent="0.2">
      <c r="A207" s="11"/>
      <c r="B207" s="150">
        <f>COUNTA(Spieltag!K194:AA194)</f>
        <v>1</v>
      </c>
      <c r="C207" s="166">
        <f>Spieltag!A194</f>
        <v>16</v>
      </c>
      <c r="D207" s="21" t="str">
        <f>Spieltag!B194</f>
        <v>Hugo Larsson (A)</v>
      </c>
      <c r="E207" s="151" t="str">
        <f>Spieltag!C194</f>
        <v>Mittelfeld</v>
      </c>
      <c r="F207" s="152" t="s">
        <v>103</v>
      </c>
      <c r="G207" s="153" t="s">
        <v>661</v>
      </c>
      <c r="H207" s="154">
        <f t="shared" si="571"/>
        <v>10</v>
      </c>
      <c r="I207" s="153"/>
      <c r="J207" s="154">
        <f t="shared" si="572"/>
        <v>0</v>
      </c>
      <c r="K207" s="153"/>
      <c r="L207" s="154">
        <f t="shared" si="573"/>
        <v>0</v>
      </c>
      <c r="M207" s="153"/>
      <c r="N207" s="154">
        <f t="shared" si="574"/>
        <v>0</v>
      </c>
      <c r="O207" s="155">
        <f t="shared" si="568"/>
        <v>0</v>
      </c>
      <c r="P207" s="155">
        <f t="shared" si="569"/>
        <v>10</v>
      </c>
      <c r="Q207" s="155">
        <f t="shared" si="570"/>
        <v>-20</v>
      </c>
      <c r="R207" s="153"/>
      <c r="S207" s="154">
        <f t="shared" si="575"/>
        <v>0</v>
      </c>
      <c r="T207" s="153"/>
      <c r="U207" s="154">
        <f t="shared" si="576"/>
        <v>0</v>
      </c>
      <c r="V207" s="155">
        <f t="shared" si="577"/>
        <v>0</v>
      </c>
      <c r="W207" s="156">
        <f t="shared" si="578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17</v>
      </c>
      <c r="D208" s="21" t="str">
        <f>Spieltag!B195</f>
        <v>Sebastian Rode</v>
      </c>
      <c r="E208" s="151" t="str">
        <f>Spieltag!C195</f>
        <v>Mittelfeld</v>
      </c>
      <c r="F208" s="152" t="s">
        <v>103</v>
      </c>
      <c r="G208" s="153"/>
      <c r="H208" s="154">
        <f t="shared" si="571"/>
        <v>0</v>
      </c>
      <c r="I208" s="153"/>
      <c r="J208" s="154">
        <f t="shared" si="572"/>
        <v>0</v>
      </c>
      <c r="K208" s="153"/>
      <c r="L208" s="154">
        <f t="shared" si="573"/>
        <v>0</v>
      </c>
      <c r="M208" s="153"/>
      <c r="N208" s="154">
        <f t="shared" si="574"/>
        <v>0</v>
      </c>
      <c r="O208" s="155">
        <f t="shared" si="568"/>
        <v>0</v>
      </c>
      <c r="P208" s="155">
        <f t="shared" si="569"/>
        <v>10</v>
      </c>
      <c r="Q208" s="155">
        <f t="shared" si="570"/>
        <v>-20</v>
      </c>
      <c r="R208" s="153"/>
      <c r="S208" s="154">
        <f t="shared" si="575"/>
        <v>0</v>
      </c>
      <c r="T208" s="153"/>
      <c r="U208" s="154">
        <f t="shared" si="576"/>
        <v>0</v>
      </c>
      <c r="V208" s="155">
        <f t="shared" si="577"/>
        <v>0</v>
      </c>
      <c r="W208" s="156">
        <f t="shared" si="578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22</v>
      </c>
      <c r="D209" s="21" t="str">
        <f>Spieltag!B196</f>
        <v>Timothy Chandler</v>
      </c>
      <c r="E209" s="151" t="str">
        <f>Spieltag!C196</f>
        <v>Mittelfeld</v>
      </c>
      <c r="F209" s="152" t="s">
        <v>103</v>
      </c>
      <c r="G209" s="153"/>
      <c r="H209" s="154">
        <f t="shared" si="571"/>
        <v>0</v>
      </c>
      <c r="I209" s="153"/>
      <c r="J209" s="154">
        <f t="shared" si="572"/>
        <v>0</v>
      </c>
      <c r="K209" s="153"/>
      <c r="L209" s="154">
        <f t="shared" si="573"/>
        <v>0</v>
      </c>
      <c r="M209" s="153"/>
      <c r="N209" s="154">
        <f t="shared" si="574"/>
        <v>0</v>
      </c>
      <c r="O209" s="155">
        <f t="shared" si="568"/>
        <v>0</v>
      </c>
      <c r="P209" s="155">
        <f t="shared" si="569"/>
        <v>10</v>
      </c>
      <c r="Q209" s="155">
        <f t="shared" si="570"/>
        <v>-20</v>
      </c>
      <c r="R209" s="153"/>
      <c r="S209" s="154">
        <f t="shared" si="575"/>
        <v>0</v>
      </c>
      <c r="T209" s="153"/>
      <c r="U209" s="154">
        <f t="shared" si="576"/>
        <v>0</v>
      </c>
      <c r="V209" s="155">
        <f t="shared" si="577"/>
        <v>0</v>
      </c>
      <c r="W209" s="156">
        <f t="shared" si="578"/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26</v>
      </c>
      <c r="D210" s="21" t="str">
        <f>Spieltag!B197</f>
        <v>Eric Junior Dina Ebimbe (A)</v>
      </c>
      <c r="E210" s="151" t="str">
        <f>Spieltag!C197</f>
        <v>Mittelfeld</v>
      </c>
      <c r="F210" s="152" t="s">
        <v>103</v>
      </c>
      <c r="G210" s="153"/>
      <c r="H210" s="154">
        <f t="shared" si="571"/>
        <v>0</v>
      </c>
      <c r="I210" s="153"/>
      <c r="J210" s="154">
        <f t="shared" si="572"/>
        <v>0</v>
      </c>
      <c r="K210" s="153"/>
      <c r="L210" s="154">
        <f t="shared" si="573"/>
        <v>0</v>
      </c>
      <c r="M210" s="153"/>
      <c r="N210" s="154">
        <f t="shared" si="574"/>
        <v>0</v>
      </c>
      <c r="O210" s="155">
        <f t="shared" si="568"/>
        <v>0</v>
      </c>
      <c r="P210" s="155">
        <f t="shared" si="569"/>
        <v>10</v>
      </c>
      <c r="Q210" s="155">
        <f t="shared" si="570"/>
        <v>-20</v>
      </c>
      <c r="R210" s="153"/>
      <c r="S210" s="154">
        <f t="shared" si="575"/>
        <v>0</v>
      </c>
      <c r="T210" s="153"/>
      <c r="U210" s="154">
        <f t="shared" si="576"/>
        <v>0</v>
      </c>
      <c r="V210" s="155">
        <f t="shared" si="577"/>
        <v>0</v>
      </c>
      <c r="W210" s="156">
        <f t="shared" si="578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27</v>
      </c>
      <c r="D211" s="21" t="str">
        <f>Spieltag!B198</f>
        <v>Mario Götze</v>
      </c>
      <c r="E211" s="151" t="str">
        <f>Spieltag!C198</f>
        <v>Mittelfeld</v>
      </c>
      <c r="F211" s="152" t="s">
        <v>103</v>
      </c>
      <c r="G211" s="153"/>
      <c r="H211" s="154">
        <f t="shared" si="571"/>
        <v>0</v>
      </c>
      <c r="I211" s="153"/>
      <c r="J211" s="154">
        <f t="shared" si="572"/>
        <v>0</v>
      </c>
      <c r="K211" s="153"/>
      <c r="L211" s="154">
        <f t="shared" si="573"/>
        <v>0</v>
      </c>
      <c r="M211" s="153"/>
      <c r="N211" s="154">
        <f t="shared" si="574"/>
        <v>0</v>
      </c>
      <c r="O211" s="155">
        <f t="shared" si="568"/>
        <v>0</v>
      </c>
      <c r="P211" s="155">
        <f t="shared" si="569"/>
        <v>10</v>
      </c>
      <c r="Q211" s="155">
        <f t="shared" si="570"/>
        <v>-20</v>
      </c>
      <c r="R211" s="153"/>
      <c r="S211" s="154">
        <f t="shared" si="575"/>
        <v>0</v>
      </c>
      <c r="T211" s="153"/>
      <c r="U211" s="154">
        <f t="shared" si="576"/>
        <v>0</v>
      </c>
      <c r="V211" s="155">
        <f t="shared" si="577"/>
        <v>0</v>
      </c>
      <c r="W211" s="156">
        <f t="shared" si="578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28</v>
      </c>
      <c r="D212" s="21" t="str">
        <f>Spieltag!B199</f>
        <v>Marcel Wenig</v>
      </c>
      <c r="E212" s="151" t="str">
        <f>Spieltag!C199</f>
        <v>Mittelfeld</v>
      </c>
      <c r="F212" s="152" t="s">
        <v>103</v>
      </c>
      <c r="G212" s="153"/>
      <c r="H212" s="154">
        <f t="shared" si="571"/>
        <v>0</v>
      </c>
      <c r="I212" s="153"/>
      <c r="J212" s="154">
        <f t="shared" si="572"/>
        <v>0</v>
      </c>
      <c r="K212" s="153"/>
      <c r="L212" s="154">
        <f t="shared" si="573"/>
        <v>0</v>
      </c>
      <c r="M212" s="153"/>
      <c r="N212" s="154">
        <f t="shared" si="574"/>
        <v>0</v>
      </c>
      <c r="O212" s="155">
        <f t="shared" si="568"/>
        <v>0</v>
      </c>
      <c r="P212" s="155">
        <f t="shared" si="569"/>
        <v>10</v>
      </c>
      <c r="Q212" s="155">
        <f t="shared" si="570"/>
        <v>-20</v>
      </c>
      <c r="R212" s="153"/>
      <c r="S212" s="154">
        <f t="shared" si="575"/>
        <v>0</v>
      </c>
      <c r="T212" s="153"/>
      <c r="U212" s="154">
        <f t="shared" si="576"/>
        <v>0</v>
      </c>
      <c r="V212" s="155">
        <f t="shared" si="577"/>
        <v>0</v>
      </c>
      <c r="W212" s="156">
        <f t="shared" si="578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30</v>
      </c>
      <c r="D213" s="21" t="str">
        <f>Spieltag!B200</f>
        <v>Paxton Aaronson (A)</v>
      </c>
      <c r="E213" s="151" t="str">
        <f>Spieltag!C200</f>
        <v>Mittelfeld</v>
      </c>
      <c r="F213" s="152" t="s">
        <v>103</v>
      </c>
      <c r="G213" s="153"/>
      <c r="H213" s="154">
        <f>IF(G213="x",10,0)</f>
        <v>0</v>
      </c>
      <c r="I213" s="153"/>
      <c r="J213" s="154">
        <f>IF((I213="x"),-10,0)</f>
        <v>0</v>
      </c>
      <c r="K213" s="153"/>
      <c r="L213" s="154">
        <f>IF((K213="x"),-20,0)</f>
        <v>0</v>
      </c>
      <c r="M213" s="153"/>
      <c r="N213" s="154">
        <f>IF((M213="x"),-30,0)</f>
        <v>0</v>
      </c>
      <c r="O213" s="155">
        <f t="shared" si="568"/>
        <v>0</v>
      </c>
      <c r="P213" s="155">
        <f t="shared" si="569"/>
        <v>10</v>
      </c>
      <c r="Q213" s="155">
        <f t="shared" si="570"/>
        <v>-20</v>
      </c>
      <c r="R213" s="153"/>
      <c r="S213" s="154">
        <f>R213*10</f>
        <v>0</v>
      </c>
      <c r="T213" s="153"/>
      <c r="U213" s="154">
        <f>T213*-15</f>
        <v>0</v>
      </c>
      <c r="V213" s="155">
        <f>IF(AND(R213=2),10,IF(R213=3,30,IF(R213=4,50,IF(R213=5,70,0))))</f>
        <v>0</v>
      </c>
      <c r="W213" s="156">
        <f>IF(G213="x",H213+J213+L213+N213+O213+P213+Q213+S213+U213+V213,0)</f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37</v>
      </c>
      <c r="D214" s="21" t="str">
        <f>Spieltag!B201</f>
        <v>Sidney Raebiger</v>
      </c>
      <c r="E214" s="151" t="str">
        <f>Spieltag!C201</f>
        <v>Mittelfeld</v>
      </c>
      <c r="F214" s="152" t="s">
        <v>103</v>
      </c>
      <c r="G214" s="153"/>
      <c r="H214" s="154">
        <f t="shared" ref="H214" si="579">IF(G214="x",10,0)</f>
        <v>0</v>
      </c>
      <c r="I214" s="153"/>
      <c r="J214" s="154">
        <f t="shared" ref="J214" si="580">IF((I214="x"),-10,0)</f>
        <v>0</v>
      </c>
      <c r="K214" s="153"/>
      <c r="L214" s="154">
        <f t="shared" ref="L214" si="581">IF((K214="x"),-20,0)</f>
        <v>0</v>
      </c>
      <c r="M214" s="153"/>
      <c r="N214" s="154">
        <f t="shared" ref="N214" si="582">IF((M214="x"),-30,0)</f>
        <v>0</v>
      </c>
      <c r="O214" s="155">
        <f t="shared" si="568"/>
        <v>0</v>
      </c>
      <c r="P214" s="155">
        <f t="shared" si="569"/>
        <v>10</v>
      </c>
      <c r="Q214" s="155">
        <f t="shared" si="570"/>
        <v>-20</v>
      </c>
      <c r="R214" s="153"/>
      <c r="S214" s="154">
        <f t="shared" ref="S214" si="583">R214*10</f>
        <v>0</v>
      </c>
      <c r="T214" s="153"/>
      <c r="U214" s="154">
        <f t="shared" ref="U214" si="584">T214*-15</f>
        <v>0</v>
      </c>
      <c r="V214" s="155">
        <f t="shared" ref="V214" si="585">IF(AND(R214=2),10,IF(R214=3,30,IF(R214=4,50,IF(R214=5,70,0))))</f>
        <v>0</v>
      </c>
      <c r="W214" s="156">
        <f t="shared" ref="W214" si="586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44</v>
      </c>
      <c r="D215" s="21" t="str">
        <f>Spieltag!B202</f>
        <v>Davis Bautista (A)</v>
      </c>
      <c r="E215" s="151" t="str">
        <f>Spieltag!C202</f>
        <v>Mittelfeld</v>
      </c>
      <c r="F215" s="152" t="s">
        <v>103</v>
      </c>
      <c r="G215" s="153"/>
      <c r="H215" s="154">
        <f t="shared" ref="H215:H216" si="587">IF(G215="x",10,0)</f>
        <v>0</v>
      </c>
      <c r="I215" s="153"/>
      <c r="J215" s="154">
        <f t="shared" ref="J215:J216" si="588">IF((I215="x"),-10,0)</f>
        <v>0</v>
      </c>
      <c r="K215" s="153"/>
      <c r="L215" s="154">
        <f t="shared" ref="L215:L216" si="589">IF((K215="x"),-20,0)</f>
        <v>0</v>
      </c>
      <c r="M215" s="153"/>
      <c r="N215" s="154">
        <f t="shared" ref="N215:N216" si="590">IF((M215="x"),-30,0)</f>
        <v>0</v>
      </c>
      <c r="O215" s="155">
        <f t="shared" si="568"/>
        <v>0</v>
      </c>
      <c r="P215" s="155">
        <f t="shared" si="569"/>
        <v>10</v>
      </c>
      <c r="Q215" s="155">
        <f t="shared" si="570"/>
        <v>-20</v>
      </c>
      <c r="R215" s="153"/>
      <c r="S215" s="154">
        <f t="shared" ref="S215:S216" si="591">R215*10</f>
        <v>0</v>
      </c>
      <c r="T215" s="153"/>
      <c r="U215" s="154">
        <f t="shared" ref="U215:U216" si="592">T215*-15</f>
        <v>0</v>
      </c>
      <c r="V215" s="155">
        <f t="shared" ref="V215:V216" si="593">IF(AND(R215=2),10,IF(R215=3,30,IF(R215=4,50,IF(R215=5,70,0))))</f>
        <v>0</v>
      </c>
      <c r="W215" s="156">
        <f t="shared" ref="W215:W216" si="594"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45</v>
      </c>
      <c r="D216" s="21" t="str">
        <f>Spieltag!B203</f>
        <v>Mehdi Loune</v>
      </c>
      <c r="E216" s="151" t="str">
        <f>Spieltag!C203</f>
        <v>Mittelfeld</v>
      </c>
      <c r="F216" s="152" t="s">
        <v>103</v>
      </c>
      <c r="G216" s="153"/>
      <c r="H216" s="154">
        <f t="shared" si="587"/>
        <v>0</v>
      </c>
      <c r="I216" s="153"/>
      <c r="J216" s="154">
        <f t="shared" si="588"/>
        <v>0</v>
      </c>
      <c r="K216" s="153"/>
      <c r="L216" s="154">
        <f t="shared" si="589"/>
        <v>0</v>
      </c>
      <c r="M216" s="153"/>
      <c r="N216" s="154">
        <f t="shared" si="590"/>
        <v>0</v>
      </c>
      <c r="O216" s="155">
        <f t="shared" si="568"/>
        <v>0</v>
      </c>
      <c r="P216" s="155">
        <f t="shared" si="569"/>
        <v>10</v>
      </c>
      <c r="Q216" s="155">
        <f t="shared" si="570"/>
        <v>-20</v>
      </c>
      <c r="R216" s="153"/>
      <c r="S216" s="154">
        <f t="shared" si="591"/>
        <v>0</v>
      </c>
      <c r="T216" s="153"/>
      <c r="U216" s="154">
        <f t="shared" si="592"/>
        <v>0</v>
      </c>
      <c r="V216" s="155">
        <f t="shared" si="593"/>
        <v>0</v>
      </c>
      <c r="W216" s="156">
        <f t="shared" si="594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49</v>
      </c>
      <c r="D217" s="21" t="str">
        <f>Spieltag!B204</f>
        <v>Harpreet Ghotra</v>
      </c>
      <c r="E217" s="151" t="str">
        <f>Spieltag!C204</f>
        <v>Mittelfeld</v>
      </c>
      <c r="F217" s="152" t="s">
        <v>103</v>
      </c>
      <c r="G217" s="153"/>
      <c r="H217" s="154">
        <f t="shared" ref="H217" si="595">IF(G217="x",10,0)</f>
        <v>0</v>
      </c>
      <c r="I217" s="153"/>
      <c r="J217" s="154">
        <f t="shared" ref="J217" si="596">IF((I217="x"),-10,0)</f>
        <v>0</v>
      </c>
      <c r="K217" s="153"/>
      <c r="L217" s="154">
        <f t="shared" ref="L217" si="597">IF((K217="x"),-20,0)</f>
        <v>0</v>
      </c>
      <c r="M217" s="153"/>
      <c r="N217" s="154">
        <f t="shared" ref="N217" si="598">IF((M217="x"),-30,0)</f>
        <v>0</v>
      </c>
      <c r="O217" s="155">
        <f t="shared" si="568"/>
        <v>0</v>
      </c>
      <c r="P217" s="155">
        <f t="shared" si="569"/>
        <v>10</v>
      </c>
      <c r="Q217" s="155">
        <f t="shared" si="570"/>
        <v>-20</v>
      </c>
      <c r="R217" s="153"/>
      <c r="S217" s="154">
        <f t="shared" ref="S217" si="599">R217*10</f>
        <v>0</v>
      </c>
      <c r="T217" s="153"/>
      <c r="U217" s="154">
        <f t="shared" ref="U217" si="600">T217*-15</f>
        <v>0</v>
      </c>
      <c r="V217" s="155">
        <f t="shared" ref="V217" si="601">IF(AND(R217=2),10,IF(R217=3,30,IF(R217=4,50,IF(R217=5,70,0))))</f>
        <v>0</v>
      </c>
      <c r="W217" s="156">
        <f t="shared" ref="W217" si="602"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7</v>
      </c>
      <c r="D218" s="21" t="str">
        <f>Spieltag!B205</f>
        <v>Omar Marmoush (A)</v>
      </c>
      <c r="E218" s="151" t="str">
        <f>Spieltag!C205</f>
        <v>Sturm</v>
      </c>
      <c r="F218" s="152" t="s">
        <v>103</v>
      </c>
      <c r="G218" s="153"/>
      <c r="H218" s="154">
        <f t="shared" ref="H218" si="603">IF(G218="x",10,0)</f>
        <v>0</v>
      </c>
      <c r="I218" s="153"/>
      <c r="J218" s="154">
        <f t="shared" ref="J218" si="604">IF((I218="x"),-10,0)</f>
        <v>0</v>
      </c>
      <c r="K218" s="153"/>
      <c r="L218" s="154">
        <f t="shared" ref="L218" si="605">IF((K218="x"),-20,0)</f>
        <v>0</v>
      </c>
      <c r="M218" s="153"/>
      <c r="N218" s="154">
        <f t="shared" ref="N218" si="606">IF((M218="x"),-30,0)</f>
        <v>0</v>
      </c>
      <c r="O218" s="155">
        <f t="shared" ref="O218:O224" si="607">IF(AND($V$9&gt;$W$9),20,IF($V$9=$W$9,10,0))</f>
        <v>0</v>
      </c>
      <c r="P218" s="155">
        <f t="shared" ref="P218:P224" si="608">IF(($V$9&lt;&gt;0),$V$9*10,-5)</f>
        <v>10</v>
      </c>
      <c r="Q218" s="155">
        <f t="shared" ref="Q218:Q224" si="609">IF(($W$9&lt;&gt;0),$W$9*-10,5)</f>
        <v>-20</v>
      </c>
      <c r="R218" s="153"/>
      <c r="S218" s="154">
        <f t="shared" ref="S218" si="610">R218*10</f>
        <v>0</v>
      </c>
      <c r="T218" s="153"/>
      <c r="U218" s="154">
        <f t="shared" ref="U218" si="611">T218*-15</f>
        <v>0</v>
      </c>
      <c r="V218" s="155">
        <f t="shared" ref="V218" si="612">IF(AND(R218=2),10,IF(R218=3,30,IF(R218=4,50,IF(R218=5,70,0))))</f>
        <v>0</v>
      </c>
      <c r="W218" s="156">
        <f t="shared" ref="W218" si="613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18</v>
      </c>
      <c r="D219" s="21" t="str">
        <f>Spieltag!B206</f>
        <v>Jessic Ngankam</v>
      </c>
      <c r="E219" s="151" t="str">
        <f>Spieltag!C206</f>
        <v>Sturm</v>
      </c>
      <c r="F219" s="152" t="s">
        <v>103</v>
      </c>
      <c r="G219" s="153"/>
      <c r="H219" s="154">
        <f t="shared" ref="H219:H221" si="614">IF(G219="x",10,0)</f>
        <v>0</v>
      </c>
      <c r="I219" s="153"/>
      <c r="J219" s="154">
        <f t="shared" ref="J219:J221" si="615">IF((I219="x"),-10,0)</f>
        <v>0</v>
      </c>
      <c r="K219" s="153"/>
      <c r="L219" s="154">
        <f t="shared" ref="L219:L221" si="616">IF((K219="x"),-20,0)</f>
        <v>0</v>
      </c>
      <c r="M219" s="153"/>
      <c r="N219" s="154">
        <f t="shared" ref="N219:N221" si="617">IF((M219="x"),-30,0)</f>
        <v>0</v>
      </c>
      <c r="O219" s="155">
        <f t="shared" si="607"/>
        <v>0</v>
      </c>
      <c r="P219" s="155">
        <f t="shared" si="608"/>
        <v>10</v>
      </c>
      <c r="Q219" s="155">
        <f t="shared" si="609"/>
        <v>-20</v>
      </c>
      <c r="R219" s="153"/>
      <c r="S219" s="154">
        <f t="shared" ref="S219:S221" si="618">R219*10</f>
        <v>0</v>
      </c>
      <c r="T219" s="153"/>
      <c r="U219" s="154">
        <f t="shared" ref="U219:U221" si="619">T219*-15</f>
        <v>0</v>
      </c>
      <c r="V219" s="155">
        <f t="shared" ref="V219:V221" si="620">IF(AND(R219=2),10,IF(R219=3,30,IF(R219=4,50,IF(R219=5,70,0))))</f>
        <v>0</v>
      </c>
      <c r="W219" s="156">
        <f t="shared" ref="W219:W221" si="621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21</v>
      </c>
      <c r="D220" s="21" t="str">
        <f>Spieltag!B207</f>
        <v>Lucas Alario (A)</v>
      </c>
      <c r="E220" s="151" t="str">
        <f>Spieltag!C207</f>
        <v>Sturm</v>
      </c>
      <c r="F220" s="152" t="s">
        <v>103</v>
      </c>
      <c r="G220" s="153"/>
      <c r="H220" s="154">
        <f t="shared" si="614"/>
        <v>0</v>
      </c>
      <c r="I220" s="153"/>
      <c r="J220" s="154">
        <f t="shared" si="615"/>
        <v>0</v>
      </c>
      <c r="K220" s="153"/>
      <c r="L220" s="154">
        <f t="shared" si="616"/>
        <v>0</v>
      </c>
      <c r="M220" s="153"/>
      <c r="N220" s="154">
        <f t="shared" si="617"/>
        <v>0</v>
      </c>
      <c r="O220" s="155">
        <f t="shared" si="607"/>
        <v>0</v>
      </c>
      <c r="P220" s="155">
        <f t="shared" si="608"/>
        <v>10</v>
      </c>
      <c r="Q220" s="155">
        <f t="shared" si="609"/>
        <v>-20</v>
      </c>
      <c r="R220" s="153"/>
      <c r="S220" s="154">
        <f t="shared" si="618"/>
        <v>0</v>
      </c>
      <c r="T220" s="153"/>
      <c r="U220" s="154">
        <f t="shared" si="619"/>
        <v>0</v>
      </c>
      <c r="V220" s="155">
        <f t="shared" si="620"/>
        <v>0</v>
      </c>
      <c r="W220" s="156">
        <f t="shared" si="621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23</v>
      </c>
      <c r="D221" s="21" t="str">
        <f>Spieltag!B208</f>
        <v>Jens Petter Hauge</v>
      </c>
      <c r="E221" s="151" t="str">
        <f>Spieltag!C208</f>
        <v>Sturm</v>
      </c>
      <c r="F221" s="152" t="s">
        <v>103</v>
      </c>
      <c r="G221" s="153"/>
      <c r="H221" s="154">
        <f t="shared" si="614"/>
        <v>0</v>
      </c>
      <c r="I221" s="153"/>
      <c r="J221" s="154">
        <f t="shared" si="615"/>
        <v>0</v>
      </c>
      <c r="K221" s="153"/>
      <c r="L221" s="154">
        <f t="shared" si="616"/>
        <v>0</v>
      </c>
      <c r="M221" s="153"/>
      <c r="N221" s="154">
        <f t="shared" si="617"/>
        <v>0</v>
      </c>
      <c r="O221" s="155">
        <f t="shared" si="607"/>
        <v>0</v>
      </c>
      <c r="P221" s="155">
        <f t="shared" si="608"/>
        <v>10</v>
      </c>
      <c r="Q221" s="155">
        <f t="shared" si="609"/>
        <v>-20</v>
      </c>
      <c r="R221" s="153"/>
      <c r="S221" s="154">
        <f t="shared" si="618"/>
        <v>0</v>
      </c>
      <c r="T221" s="153"/>
      <c r="U221" s="154">
        <f t="shared" si="619"/>
        <v>0</v>
      </c>
      <c r="V221" s="155">
        <f t="shared" si="620"/>
        <v>0</v>
      </c>
      <c r="W221" s="156">
        <f t="shared" si="621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36</v>
      </c>
      <c r="D222" s="21" t="str">
        <f>Spieltag!B209</f>
        <v>Ansgar Knauff</v>
      </c>
      <c r="E222" s="151" t="str">
        <f>Spieltag!C209</f>
        <v>Sturm</v>
      </c>
      <c r="F222" s="152" t="s">
        <v>103</v>
      </c>
      <c r="G222" s="153"/>
      <c r="H222" s="154">
        <f t="shared" ref="H222:H224" si="622">IF(G222="x",10,0)</f>
        <v>0</v>
      </c>
      <c r="I222" s="153"/>
      <c r="J222" s="154">
        <f t="shared" ref="J222:J224" si="623">IF((I222="x"),-10,0)</f>
        <v>0</v>
      </c>
      <c r="K222" s="153"/>
      <c r="L222" s="154">
        <f t="shared" ref="L222:L224" si="624">IF((K222="x"),-20,0)</f>
        <v>0</v>
      </c>
      <c r="M222" s="153"/>
      <c r="N222" s="154">
        <f t="shared" ref="N222:N224" si="625">IF((M222="x"),-30,0)</f>
        <v>0</v>
      </c>
      <c r="O222" s="155">
        <f t="shared" si="607"/>
        <v>0</v>
      </c>
      <c r="P222" s="155">
        <f t="shared" si="608"/>
        <v>10</v>
      </c>
      <c r="Q222" s="155">
        <f t="shared" si="609"/>
        <v>-20</v>
      </c>
      <c r="R222" s="153"/>
      <c r="S222" s="154">
        <f t="shared" ref="S222:S224" si="626">R222*10</f>
        <v>0</v>
      </c>
      <c r="T222" s="153"/>
      <c r="U222" s="154">
        <f t="shared" ref="U222:U224" si="627">T222*-15</f>
        <v>0</v>
      </c>
      <c r="V222" s="155">
        <f t="shared" ref="V222:V224" si="628">IF(AND(R222=2),10,IF(R222=3,30,IF(R222=4,50,IF(R222=5,70,0))))</f>
        <v>0</v>
      </c>
      <c r="W222" s="156">
        <f t="shared" ref="W222:W224" si="629">IF(G222="x",H222+J222+L222+N222+O222+P222+Q222+S222+U222+V222,0)</f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43</v>
      </c>
      <c r="D223" s="21" t="str">
        <f>Spieltag!B210</f>
        <v>Noel Futkeu</v>
      </c>
      <c r="E223" s="151" t="str">
        <f>Spieltag!C210</f>
        <v>Sturm</v>
      </c>
      <c r="F223" s="152" t="s">
        <v>103</v>
      </c>
      <c r="G223" s="153"/>
      <c r="H223" s="154">
        <f t="shared" ref="H223" si="630">IF(G223="x",10,0)</f>
        <v>0</v>
      </c>
      <c r="I223" s="153"/>
      <c r="J223" s="154">
        <f t="shared" ref="J223" si="631">IF((I223="x"),-10,0)</f>
        <v>0</v>
      </c>
      <c r="K223" s="153"/>
      <c r="L223" s="154">
        <f t="shared" ref="L223" si="632">IF((K223="x"),-20,0)</f>
        <v>0</v>
      </c>
      <c r="M223" s="153"/>
      <c r="N223" s="154">
        <f t="shared" ref="N223" si="633">IF((M223="x"),-30,0)</f>
        <v>0</v>
      </c>
      <c r="O223" s="155">
        <f t="shared" si="607"/>
        <v>0</v>
      </c>
      <c r="P223" s="155">
        <f t="shared" si="608"/>
        <v>10</v>
      </c>
      <c r="Q223" s="155">
        <f t="shared" si="609"/>
        <v>-20</v>
      </c>
      <c r="R223" s="153"/>
      <c r="S223" s="154">
        <f t="shared" ref="S223" si="634">R223*10</f>
        <v>0</v>
      </c>
      <c r="T223" s="153"/>
      <c r="U223" s="154">
        <f t="shared" ref="U223" si="635">T223*-15</f>
        <v>0</v>
      </c>
      <c r="V223" s="155">
        <f t="shared" ref="V223" si="636">IF(AND(R223=2),10,IF(R223=3,30,IF(R223=4,50,IF(R223=5,70,0))))</f>
        <v>0</v>
      </c>
      <c r="W223" s="156">
        <f t="shared" ref="W223" si="637"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48</v>
      </c>
      <c r="D224" s="21" t="str">
        <f>Spieltag!B211</f>
        <v>Nacho Ferri (A)</v>
      </c>
      <c r="E224" s="151" t="str">
        <f>Spieltag!C211</f>
        <v>Sturm</v>
      </c>
      <c r="F224" s="152" t="s">
        <v>103</v>
      </c>
      <c r="G224" s="153"/>
      <c r="H224" s="154">
        <f t="shared" si="622"/>
        <v>0</v>
      </c>
      <c r="I224" s="153"/>
      <c r="J224" s="154">
        <f t="shared" si="623"/>
        <v>0</v>
      </c>
      <c r="K224" s="153"/>
      <c r="L224" s="154">
        <f t="shared" si="624"/>
        <v>0</v>
      </c>
      <c r="M224" s="153"/>
      <c r="N224" s="154">
        <f t="shared" si="625"/>
        <v>0</v>
      </c>
      <c r="O224" s="155">
        <f t="shared" si="607"/>
        <v>0</v>
      </c>
      <c r="P224" s="155">
        <f t="shared" si="608"/>
        <v>10</v>
      </c>
      <c r="Q224" s="155">
        <f t="shared" si="609"/>
        <v>-20</v>
      </c>
      <c r="R224" s="153"/>
      <c r="S224" s="154">
        <f t="shared" si="626"/>
        <v>0</v>
      </c>
      <c r="T224" s="153"/>
      <c r="U224" s="154">
        <f t="shared" si="627"/>
        <v>0</v>
      </c>
      <c r="V224" s="155">
        <f t="shared" si="628"/>
        <v>0</v>
      </c>
      <c r="W224" s="156">
        <f t="shared" si="629"/>
        <v>0</v>
      </c>
    </row>
    <row r="225" spans="1:23" s="144" customFormat="1" ht="17.25" thickBot="1" x14ac:dyDescent="0.25">
      <c r="A225" s="142"/>
      <c r="B225" s="143">
        <f>SUM(B226:B253)</f>
        <v>3</v>
      </c>
      <c r="C225" s="158"/>
      <c r="D225" s="234" t="s">
        <v>31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5"/>
    </row>
    <row r="226" spans="1:23" ht="10.5" hidden="1" customHeight="1" x14ac:dyDescent="0.2">
      <c r="A226" s="11"/>
      <c r="B226" s="149">
        <f>COUNTA(Spieltag!K213:AA213)</f>
        <v>0</v>
      </c>
      <c r="C226" s="166">
        <f>Spieltag!A213</f>
        <v>1</v>
      </c>
      <c r="D226" s="21" t="str">
        <f>Spieltag!B213</f>
        <v>Koen Casteels (A)</v>
      </c>
      <c r="E226" s="12" t="str">
        <f>Spieltag!C213</f>
        <v>Torwart</v>
      </c>
      <c r="F226" s="13" t="s">
        <v>55</v>
      </c>
      <c r="G226" s="14"/>
      <c r="H226" s="15">
        <f>IF(G226="x",10,0)</f>
        <v>0</v>
      </c>
      <c r="I226" s="14"/>
      <c r="J226" s="15">
        <f>IF((I226="x"),-10,0)</f>
        <v>0</v>
      </c>
      <c r="K226" s="14"/>
      <c r="L226" s="15">
        <f>IF((K226="x"),-20,0)</f>
        <v>0</v>
      </c>
      <c r="M226" s="14"/>
      <c r="N226" s="15">
        <f>IF((M226="x"),-30,0)</f>
        <v>0</v>
      </c>
      <c r="O226" s="16">
        <f t="shared" ref="O226:O248" si="638">IF(AND($P$11&gt;$Q$11),20,IF($P$11=$Q$11,10,0))</f>
        <v>0</v>
      </c>
      <c r="P226" s="16">
        <f t="shared" ref="P226:P248" si="639">IF(($P$11&lt;&gt;0),$P$11*10,-5)</f>
        <v>10</v>
      </c>
      <c r="Q226" s="16">
        <f>IF(($Q$11&lt;&gt;0),$Q$11*-10,20)</f>
        <v>-30</v>
      </c>
      <c r="R226" s="14"/>
      <c r="S226" s="15">
        <f>R226*20</f>
        <v>0</v>
      </c>
      <c r="T226" s="14"/>
      <c r="U226" s="15">
        <f>T226*-15</f>
        <v>0</v>
      </c>
      <c r="V226" s="16">
        <f>IF(AND(R226=2),10,IF(R226=3,30,IF(R226=4,50,IF(R226=5,70,0))))</f>
        <v>0</v>
      </c>
      <c r="W226" s="17">
        <f>IF(G226="x",H226+J226+L226+N226+O226+P226+Q226+S226+U226+V226,0)</f>
        <v>0</v>
      </c>
    </row>
    <row r="227" spans="1:23" ht="10.5" hidden="1" customHeight="1" x14ac:dyDescent="0.2">
      <c r="A227" s="11"/>
      <c r="B227" s="149">
        <f>COUNTA(Spieltag!K214:AA214)</f>
        <v>0</v>
      </c>
      <c r="C227" s="166">
        <f>Spieltag!A214</f>
        <v>12</v>
      </c>
      <c r="D227" s="21" t="str">
        <f>Spieltag!B214</f>
        <v>Pavao Pervan (A)</v>
      </c>
      <c r="E227" s="12" t="str">
        <f>Spieltag!C214</f>
        <v>Torwart</v>
      </c>
      <c r="F227" s="13" t="s">
        <v>55</v>
      </c>
      <c r="G227" s="14"/>
      <c r="H227" s="15">
        <f t="shared" ref="H227:H229" si="640">IF(G227="x",10,0)</f>
        <v>0</v>
      </c>
      <c r="I227" s="14"/>
      <c r="J227" s="15">
        <f t="shared" ref="J227:J229" si="641">IF((I227="x"),-10,0)</f>
        <v>0</v>
      </c>
      <c r="K227" s="14"/>
      <c r="L227" s="15">
        <f t="shared" ref="L227:L229" si="642">IF((K227="x"),-20,0)</f>
        <v>0</v>
      </c>
      <c r="M227" s="14"/>
      <c r="N227" s="15">
        <f t="shared" ref="N227:N229" si="643">IF((M227="x"),-30,0)</f>
        <v>0</v>
      </c>
      <c r="O227" s="16">
        <f t="shared" si="638"/>
        <v>0</v>
      </c>
      <c r="P227" s="16">
        <f t="shared" si="639"/>
        <v>10</v>
      </c>
      <c r="Q227" s="16">
        <f t="shared" ref="Q227:Q229" si="644">IF(($Q$11&lt;&gt;0),$Q$11*-10,20)</f>
        <v>-30</v>
      </c>
      <c r="R227" s="14"/>
      <c r="S227" s="15">
        <f t="shared" ref="S227:S229" si="645">R227*20</f>
        <v>0</v>
      </c>
      <c r="T227" s="14"/>
      <c r="U227" s="15">
        <f t="shared" ref="U227:U229" si="646">T227*-15</f>
        <v>0</v>
      </c>
      <c r="V227" s="16">
        <f t="shared" ref="V227:V229" si="647">IF(AND(R227=2),10,IF(R227=3,30,IF(R227=4,50,IF(R227=5,70,0))))</f>
        <v>0</v>
      </c>
      <c r="W227" s="17">
        <f t="shared" ref="W227:W229" si="648">IF(G227="x",H227+J227+L227+N227+O227+P227+Q227+S227+U227+V227,0)</f>
        <v>0</v>
      </c>
    </row>
    <row r="228" spans="1:23" ht="10.5" hidden="1" customHeight="1" x14ac:dyDescent="0.2">
      <c r="A228" s="11"/>
      <c r="B228" s="149">
        <f>COUNTA(Spieltag!K215:AA215)</f>
        <v>0</v>
      </c>
      <c r="C228" s="166">
        <f>Spieltag!A215</f>
        <v>30</v>
      </c>
      <c r="D228" s="21" t="str">
        <f>Spieltag!B215</f>
        <v>Niklas Klinger</v>
      </c>
      <c r="E228" s="12" t="str">
        <f>Spieltag!C215</f>
        <v>Torwart</v>
      </c>
      <c r="F228" s="13" t="s">
        <v>55</v>
      </c>
      <c r="G228" s="14"/>
      <c r="H228" s="15">
        <f t="shared" si="640"/>
        <v>0</v>
      </c>
      <c r="I228" s="14"/>
      <c r="J228" s="15">
        <f t="shared" si="641"/>
        <v>0</v>
      </c>
      <c r="K228" s="14"/>
      <c r="L228" s="15">
        <f t="shared" si="642"/>
        <v>0</v>
      </c>
      <c r="M228" s="14"/>
      <c r="N228" s="15">
        <f t="shared" si="643"/>
        <v>0</v>
      </c>
      <c r="O228" s="16">
        <f t="shared" si="638"/>
        <v>0</v>
      </c>
      <c r="P228" s="16">
        <f t="shared" si="639"/>
        <v>10</v>
      </c>
      <c r="Q228" s="16">
        <f t="shared" si="644"/>
        <v>-30</v>
      </c>
      <c r="R228" s="14"/>
      <c r="S228" s="15">
        <f t="shared" si="645"/>
        <v>0</v>
      </c>
      <c r="T228" s="14"/>
      <c r="U228" s="15">
        <f t="shared" si="646"/>
        <v>0</v>
      </c>
      <c r="V228" s="16">
        <f t="shared" si="647"/>
        <v>0</v>
      </c>
      <c r="W228" s="17">
        <f t="shared" si="648"/>
        <v>0</v>
      </c>
    </row>
    <row r="229" spans="1:23" ht="10.5" hidden="1" customHeight="1" x14ac:dyDescent="0.2">
      <c r="A229" s="11"/>
      <c r="B229" s="149">
        <f>COUNTA(Spieltag!K216:AA216)</f>
        <v>0</v>
      </c>
      <c r="C229" s="166">
        <f>Spieltag!A216</f>
        <v>35</v>
      </c>
      <c r="D229" s="21" t="str">
        <f>Spieltag!B216</f>
        <v>Philipp Schulze</v>
      </c>
      <c r="E229" s="12" t="str">
        <f>Spieltag!C216</f>
        <v>Torwart</v>
      </c>
      <c r="F229" s="13" t="s">
        <v>55</v>
      </c>
      <c r="G229" s="14"/>
      <c r="H229" s="15">
        <f t="shared" si="640"/>
        <v>0</v>
      </c>
      <c r="I229" s="14"/>
      <c r="J229" s="15">
        <f t="shared" si="641"/>
        <v>0</v>
      </c>
      <c r="K229" s="14"/>
      <c r="L229" s="15">
        <f t="shared" si="642"/>
        <v>0</v>
      </c>
      <c r="M229" s="14"/>
      <c r="N229" s="15">
        <f t="shared" si="643"/>
        <v>0</v>
      </c>
      <c r="O229" s="16">
        <f t="shared" si="638"/>
        <v>0</v>
      </c>
      <c r="P229" s="16">
        <f t="shared" si="639"/>
        <v>10</v>
      </c>
      <c r="Q229" s="16">
        <f t="shared" si="644"/>
        <v>-30</v>
      </c>
      <c r="R229" s="14"/>
      <c r="S229" s="15">
        <f t="shared" si="645"/>
        <v>0</v>
      </c>
      <c r="T229" s="14"/>
      <c r="U229" s="15">
        <f t="shared" si="646"/>
        <v>0</v>
      </c>
      <c r="V229" s="16">
        <f t="shared" si="647"/>
        <v>0</v>
      </c>
      <c r="W229" s="17">
        <f t="shared" si="648"/>
        <v>0</v>
      </c>
    </row>
    <row r="230" spans="1:23" ht="10.5" hidden="1" customHeight="1" x14ac:dyDescent="0.2">
      <c r="A230" s="11"/>
      <c r="B230" s="149">
        <f>COUNTA(Spieltag!K217:AA217)</f>
        <v>0</v>
      </c>
      <c r="C230" s="166">
        <f>Spieltag!A217</f>
        <v>2</v>
      </c>
      <c r="D230" s="21" t="str">
        <f>Spieltag!B217</f>
        <v>Kilian Fischer</v>
      </c>
      <c r="E230" s="12" t="str">
        <f>Spieltag!C217</f>
        <v>Abwehr</v>
      </c>
      <c r="F230" s="13" t="s">
        <v>55</v>
      </c>
      <c r="G230" s="14"/>
      <c r="H230" s="15">
        <f t="shared" ref="H230" si="649">IF(G230="x",10,0)</f>
        <v>0</v>
      </c>
      <c r="I230" s="14"/>
      <c r="J230" s="15">
        <f t="shared" ref="J230" si="650">IF((I230="x"),-10,0)</f>
        <v>0</v>
      </c>
      <c r="K230" s="14"/>
      <c r="L230" s="15">
        <f t="shared" ref="L230" si="651">IF((K230="x"),-20,0)</f>
        <v>0</v>
      </c>
      <c r="M230" s="14"/>
      <c r="N230" s="15">
        <f t="shared" ref="N230" si="652">IF((M230="x"),-30,0)</f>
        <v>0</v>
      </c>
      <c r="O230" s="16">
        <f t="shared" si="638"/>
        <v>0</v>
      </c>
      <c r="P230" s="16">
        <f t="shared" si="639"/>
        <v>10</v>
      </c>
      <c r="Q230" s="16">
        <f t="shared" ref="Q230:Q238" si="653">IF(($Q$11&lt;&gt;0),$Q$11*-10,15)</f>
        <v>-30</v>
      </c>
      <c r="R230" s="14"/>
      <c r="S230" s="15">
        <f t="shared" ref="S230" si="654">R230*15</f>
        <v>0</v>
      </c>
      <c r="T230" s="14"/>
      <c r="U230" s="15">
        <f t="shared" ref="U230" si="655">T230*-15</f>
        <v>0</v>
      </c>
      <c r="V230" s="16">
        <f t="shared" ref="V230" si="656">IF(AND(R230=2),10,IF(R230=3,30,IF(R230=4,50,IF(R230=5,70,0))))</f>
        <v>0</v>
      </c>
      <c r="W230" s="17">
        <f t="shared" ref="W230" si="657">IF(G230="x",H230+J230+L230+N230+O230+P230+Q230+S230+U230+V230,0)</f>
        <v>0</v>
      </c>
    </row>
    <row r="231" spans="1:23" ht="10.5" hidden="1" customHeight="1" x14ac:dyDescent="0.2">
      <c r="A231" s="11"/>
      <c r="B231" s="149">
        <f>COUNTA(Spieltag!K218:AA218)</f>
        <v>0</v>
      </c>
      <c r="C231" s="166">
        <f>Spieltag!A218</f>
        <v>3</v>
      </c>
      <c r="D231" s="21" t="str">
        <f>Spieltag!B218</f>
        <v>Sebastiaan Bornauw (A)</v>
      </c>
      <c r="E231" s="12" t="str">
        <f>Spieltag!C218</f>
        <v>Abwehr</v>
      </c>
      <c r="F231" s="13" t="s">
        <v>55</v>
      </c>
      <c r="G231" s="14"/>
      <c r="H231" s="15">
        <f t="shared" ref="H231:H238" si="658">IF(G231="x",10,0)</f>
        <v>0</v>
      </c>
      <c r="I231" s="14"/>
      <c r="J231" s="15">
        <f t="shared" ref="J231:J238" si="659">IF((I231="x"),-10,0)</f>
        <v>0</v>
      </c>
      <c r="K231" s="14"/>
      <c r="L231" s="15">
        <f t="shared" ref="L231:L238" si="660">IF((K231="x"),-20,0)</f>
        <v>0</v>
      </c>
      <c r="M231" s="14"/>
      <c r="N231" s="15">
        <f t="shared" ref="N231:N238" si="661">IF((M231="x"),-30,0)</f>
        <v>0</v>
      </c>
      <c r="O231" s="16">
        <f t="shared" si="638"/>
        <v>0</v>
      </c>
      <c r="P231" s="16">
        <f t="shared" si="639"/>
        <v>10</v>
      </c>
      <c r="Q231" s="16">
        <f t="shared" si="653"/>
        <v>-30</v>
      </c>
      <c r="R231" s="14"/>
      <c r="S231" s="15">
        <f t="shared" ref="S231:S238" si="662">R231*15</f>
        <v>0</v>
      </c>
      <c r="T231" s="14"/>
      <c r="U231" s="15">
        <f t="shared" ref="U231:U238" si="663">T231*-15</f>
        <v>0</v>
      </c>
      <c r="V231" s="16">
        <f t="shared" ref="V231:V238" si="664">IF(AND(R231=2),10,IF(R231=3,30,IF(R231=4,50,IF(R231=5,70,0))))</f>
        <v>0</v>
      </c>
      <c r="W231" s="17">
        <f t="shared" ref="W231:W238" si="665">IF(G231="x",H231+J231+L231+N231+O231+P231+Q231+S231+U231+V231,0)</f>
        <v>0</v>
      </c>
    </row>
    <row r="232" spans="1:23" ht="10.5" customHeight="1" x14ac:dyDescent="0.2">
      <c r="A232" s="11"/>
      <c r="B232" s="149">
        <f>COUNTA(Spieltag!K219:AA219)</f>
        <v>1</v>
      </c>
      <c r="C232" s="166">
        <f>Spieltag!A219</f>
        <v>4</v>
      </c>
      <c r="D232" s="21" t="str">
        <f>Spieltag!B219</f>
        <v>Maxence Lacroix (A)</v>
      </c>
      <c r="E232" s="12" t="str">
        <f>Spieltag!C219</f>
        <v>Abwehr</v>
      </c>
      <c r="F232" s="13" t="s">
        <v>55</v>
      </c>
      <c r="G232" s="14" t="s">
        <v>661</v>
      </c>
      <c r="H232" s="15">
        <f t="shared" si="658"/>
        <v>10</v>
      </c>
      <c r="I232" s="14"/>
      <c r="J232" s="15">
        <f t="shared" si="659"/>
        <v>0</v>
      </c>
      <c r="K232" s="14"/>
      <c r="L232" s="15">
        <f t="shared" si="660"/>
        <v>0</v>
      </c>
      <c r="M232" s="14"/>
      <c r="N232" s="15">
        <f t="shared" si="661"/>
        <v>0</v>
      </c>
      <c r="O232" s="16">
        <f t="shared" si="638"/>
        <v>0</v>
      </c>
      <c r="P232" s="16">
        <f t="shared" si="639"/>
        <v>10</v>
      </c>
      <c r="Q232" s="16">
        <f t="shared" si="653"/>
        <v>-30</v>
      </c>
      <c r="R232" s="14"/>
      <c r="S232" s="15">
        <f t="shared" si="662"/>
        <v>0</v>
      </c>
      <c r="T232" s="14"/>
      <c r="U232" s="15">
        <f t="shared" si="663"/>
        <v>0</v>
      </c>
      <c r="V232" s="16">
        <f t="shared" si="664"/>
        <v>0</v>
      </c>
      <c r="W232" s="17">
        <f t="shared" si="665"/>
        <v>-10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5</v>
      </c>
      <c r="D233" s="21" t="str">
        <f>Spieltag!B220</f>
        <v>Cédric Zesiger (A)</v>
      </c>
      <c r="E233" s="12" t="str">
        <f>Spieltag!C220</f>
        <v>Abwehr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si="638"/>
        <v>0</v>
      </c>
      <c r="P233" s="16">
        <f t="shared" si="639"/>
        <v>10</v>
      </c>
      <c r="Q233" s="16">
        <f t="shared" si="653"/>
        <v>-30</v>
      </c>
      <c r="R233" s="14"/>
      <c r="S233" s="15">
        <f>R233*15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8</v>
      </c>
      <c r="D234" s="21" t="str">
        <f>Spieltag!B221</f>
        <v>Nicolas Cozza (A)</v>
      </c>
      <c r="E234" s="12" t="str">
        <f>Spieltag!C221</f>
        <v>Abwehr</v>
      </c>
      <c r="F234" s="13" t="s">
        <v>55</v>
      </c>
      <c r="G234" s="14"/>
      <c r="H234" s="15">
        <f t="shared" si="658"/>
        <v>0</v>
      </c>
      <c r="I234" s="14"/>
      <c r="J234" s="15">
        <f t="shared" si="659"/>
        <v>0</v>
      </c>
      <c r="K234" s="14"/>
      <c r="L234" s="15">
        <f t="shared" si="660"/>
        <v>0</v>
      </c>
      <c r="M234" s="14"/>
      <c r="N234" s="15">
        <f t="shared" si="661"/>
        <v>0</v>
      </c>
      <c r="O234" s="16">
        <f t="shared" si="638"/>
        <v>0</v>
      </c>
      <c r="P234" s="16">
        <f t="shared" si="639"/>
        <v>10</v>
      </c>
      <c r="Q234" s="16">
        <f t="shared" si="653"/>
        <v>-30</v>
      </c>
      <c r="R234" s="14"/>
      <c r="S234" s="15">
        <f t="shared" si="662"/>
        <v>0</v>
      </c>
      <c r="T234" s="14"/>
      <c r="U234" s="15">
        <f t="shared" si="663"/>
        <v>0</v>
      </c>
      <c r="V234" s="16">
        <f t="shared" si="664"/>
        <v>0</v>
      </c>
      <c r="W234" s="17">
        <f t="shared" si="665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13</v>
      </c>
      <c r="D235" s="21" t="str">
        <f>Spieltag!B222</f>
        <v>Rogério (A)</v>
      </c>
      <c r="E235" s="12" t="str">
        <f>Spieltag!C222</f>
        <v>Abwehr</v>
      </c>
      <c r="F235" s="13" t="s">
        <v>55</v>
      </c>
      <c r="G235" s="14"/>
      <c r="H235" s="15">
        <f t="shared" si="658"/>
        <v>0</v>
      </c>
      <c r="I235" s="14"/>
      <c r="J235" s="15">
        <f t="shared" si="659"/>
        <v>0</v>
      </c>
      <c r="K235" s="14"/>
      <c r="L235" s="15">
        <f t="shared" si="660"/>
        <v>0</v>
      </c>
      <c r="M235" s="14"/>
      <c r="N235" s="15">
        <f t="shared" si="661"/>
        <v>0</v>
      </c>
      <c r="O235" s="16">
        <f t="shared" si="638"/>
        <v>0</v>
      </c>
      <c r="P235" s="16">
        <f t="shared" si="639"/>
        <v>10</v>
      </c>
      <c r="Q235" s="16">
        <f t="shared" si="653"/>
        <v>-30</v>
      </c>
      <c r="R235" s="14"/>
      <c r="S235" s="15">
        <f t="shared" si="662"/>
        <v>0</v>
      </c>
      <c r="T235" s="14"/>
      <c r="U235" s="15">
        <f t="shared" si="663"/>
        <v>0</v>
      </c>
      <c r="V235" s="16">
        <f t="shared" si="664"/>
        <v>0</v>
      </c>
      <c r="W235" s="17">
        <f t="shared" si="665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21</v>
      </c>
      <c r="D236" s="21" t="str">
        <f>Spieltag!B223</f>
        <v>Joakim Maehle (A)</v>
      </c>
      <c r="E236" s="12" t="str">
        <f>Spieltag!C223</f>
        <v>Abwehr</v>
      </c>
      <c r="F236" s="13" t="s">
        <v>55</v>
      </c>
      <c r="G236" s="14"/>
      <c r="H236" s="15">
        <f t="shared" ref="H236" si="666">IF(G236="x",10,0)</f>
        <v>0</v>
      </c>
      <c r="I236" s="14"/>
      <c r="J236" s="15">
        <f t="shared" ref="J236" si="667">IF((I236="x"),-10,0)</f>
        <v>0</v>
      </c>
      <c r="K236" s="14"/>
      <c r="L236" s="15">
        <f t="shared" ref="L236" si="668">IF((K236="x"),-20,0)</f>
        <v>0</v>
      </c>
      <c r="M236" s="14"/>
      <c r="N236" s="15">
        <f t="shared" ref="N236" si="669">IF((M236="x"),-30,0)</f>
        <v>0</v>
      </c>
      <c r="O236" s="16">
        <f t="shared" si="638"/>
        <v>0</v>
      </c>
      <c r="P236" s="16">
        <f t="shared" si="639"/>
        <v>10</v>
      </c>
      <c r="Q236" s="16">
        <f t="shared" si="653"/>
        <v>-30</v>
      </c>
      <c r="R236" s="14"/>
      <c r="S236" s="15">
        <f t="shared" ref="S236" si="670">R236*15</f>
        <v>0</v>
      </c>
      <c r="T236" s="14"/>
      <c r="U236" s="15">
        <f t="shared" ref="U236" si="671">T236*-15</f>
        <v>0</v>
      </c>
      <c r="V236" s="16">
        <f t="shared" ref="V236" si="672">IF(AND(R236=2),10,IF(R236=3,30,IF(R236=4,50,IF(R236=5,70,0))))</f>
        <v>0</v>
      </c>
      <c r="W236" s="17">
        <f t="shared" ref="W236" si="673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25</v>
      </c>
      <c r="D237" s="21" t="str">
        <f>Spieltag!B224</f>
        <v>Moritz Jenz (A)</v>
      </c>
      <c r="E237" s="12" t="str">
        <f>Spieltag!C224</f>
        <v>Abwehr</v>
      </c>
      <c r="F237" s="13" t="s">
        <v>55</v>
      </c>
      <c r="G237" s="14"/>
      <c r="H237" s="15">
        <f t="shared" si="658"/>
        <v>0</v>
      </c>
      <c r="I237" s="14"/>
      <c r="J237" s="15">
        <f t="shared" si="659"/>
        <v>0</v>
      </c>
      <c r="K237" s="14"/>
      <c r="L237" s="15">
        <f t="shared" si="660"/>
        <v>0</v>
      </c>
      <c r="M237" s="14"/>
      <c r="N237" s="15">
        <f t="shared" si="661"/>
        <v>0</v>
      </c>
      <c r="O237" s="16">
        <f t="shared" si="638"/>
        <v>0</v>
      </c>
      <c r="P237" s="16">
        <f t="shared" si="639"/>
        <v>10</v>
      </c>
      <c r="Q237" s="16">
        <f t="shared" si="653"/>
        <v>-30</v>
      </c>
      <c r="R237" s="14"/>
      <c r="S237" s="15">
        <f t="shared" si="662"/>
        <v>0</v>
      </c>
      <c r="T237" s="14"/>
      <c r="U237" s="15">
        <f t="shared" si="663"/>
        <v>0</v>
      </c>
      <c r="V237" s="16">
        <f t="shared" si="664"/>
        <v>0</v>
      </c>
      <c r="W237" s="17">
        <f t="shared" si="665"/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37</v>
      </c>
      <c r="D238" s="21" t="str">
        <f>Spieltag!B225</f>
        <v>Felix Lange</v>
      </c>
      <c r="E238" s="12" t="str">
        <f>Spieltag!C225</f>
        <v>Abwehr</v>
      </c>
      <c r="F238" s="13" t="s">
        <v>55</v>
      </c>
      <c r="G238" s="14"/>
      <c r="H238" s="15">
        <f t="shared" si="658"/>
        <v>0</v>
      </c>
      <c r="I238" s="14"/>
      <c r="J238" s="15">
        <f t="shared" si="659"/>
        <v>0</v>
      </c>
      <c r="K238" s="14"/>
      <c r="L238" s="15">
        <f t="shared" si="660"/>
        <v>0</v>
      </c>
      <c r="M238" s="14"/>
      <c r="N238" s="15">
        <f t="shared" si="661"/>
        <v>0</v>
      </c>
      <c r="O238" s="16">
        <f t="shared" si="638"/>
        <v>0</v>
      </c>
      <c r="P238" s="16">
        <f t="shared" si="639"/>
        <v>10</v>
      </c>
      <c r="Q238" s="16">
        <f t="shared" si="653"/>
        <v>-30</v>
      </c>
      <c r="R238" s="14"/>
      <c r="S238" s="15">
        <f t="shared" si="662"/>
        <v>0</v>
      </c>
      <c r="T238" s="14"/>
      <c r="U238" s="15">
        <f t="shared" si="663"/>
        <v>0</v>
      </c>
      <c r="V238" s="16">
        <f t="shared" si="664"/>
        <v>0</v>
      </c>
      <c r="W238" s="17">
        <f t="shared" si="665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6</v>
      </c>
      <c r="D239" s="21" t="str">
        <f>Spieltag!B226</f>
        <v>Aster Vranckx (A)</v>
      </c>
      <c r="E239" s="12" t="str">
        <f>Spieltag!C226</f>
        <v>Mittelfeld</v>
      </c>
      <c r="F239" s="13" t="s">
        <v>55</v>
      </c>
      <c r="G239" s="14"/>
      <c r="H239" s="15">
        <f t="shared" ref="H239" si="674">IF(G239="x",10,0)</f>
        <v>0</v>
      </c>
      <c r="I239" s="14"/>
      <c r="J239" s="15">
        <f t="shared" ref="J239" si="675">IF((I239="x"),-10,0)</f>
        <v>0</v>
      </c>
      <c r="K239" s="14"/>
      <c r="L239" s="15">
        <f t="shared" ref="L239" si="676">IF((K239="x"),-20,0)</f>
        <v>0</v>
      </c>
      <c r="M239" s="14"/>
      <c r="N239" s="15">
        <f t="shared" ref="N239" si="677">IF((M239="x"),-30,0)</f>
        <v>0</v>
      </c>
      <c r="O239" s="16">
        <f t="shared" si="638"/>
        <v>0</v>
      </c>
      <c r="P239" s="16">
        <f t="shared" si="639"/>
        <v>10</v>
      </c>
      <c r="Q239" s="16">
        <f t="shared" ref="Q239:Q248" si="678">IF(($Q$11&lt;&gt;0),$Q$11*-10,10)</f>
        <v>-30</v>
      </c>
      <c r="R239" s="14"/>
      <c r="S239" s="15">
        <f t="shared" ref="S239" si="679">R239*10</f>
        <v>0</v>
      </c>
      <c r="T239" s="14"/>
      <c r="U239" s="15">
        <f t="shared" ref="U239" si="680">T239*-15</f>
        <v>0</v>
      </c>
      <c r="V239" s="16">
        <f t="shared" ref="V239" si="681">IF(AND(R239=2),10,IF(R239=3,30,IF(R239=4,50,IF(R239=5,70,0))))</f>
        <v>0</v>
      </c>
      <c r="W239" s="17">
        <f t="shared" ref="W239" si="682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7</v>
      </c>
      <c r="D240" s="21" t="str">
        <f>Spieltag!B227</f>
        <v>Václav Černý (A)</v>
      </c>
      <c r="E240" s="12" t="str">
        <f>Spieltag!C227</f>
        <v>Mittelfeld</v>
      </c>
      <c r="F240" s="13" t="s">
        <v>55</v>
      </c>
      <c r="G240" s="14"/>
      <c r="H240" s="15">
        <f t="shared" ref="H240:H249" si="683">IF(G240="x",10,0)</f>
        <v>0</v>
      </c>
      <c r="I240" s="14"/>
      <c r="J240" s="15">
        <f t="shared" ref="J240:J249" si="684">IF((I240="x"),-10,0)</f>
        <v>0</v>
      </c>
      <c r="K240" s="14"/>
      <c r="L240" s="15">
        <f t="shared" ref="L240:L249" si="685">IF((K240="x"),-20,0)</f>
        <v>0</v>
      </c>
      <c r="M240" s="14"/>
      <c r="N240" s="15">
        <f t="shared" ref="N240:N249" si="686">IF((M240="x"),-30,0)</f>
        <v>0</v>
      </c>
      <c r="O240" s="16">
        <f t="shared" si="638"/>
        <v>0</v>
      </c>
      <c r="P240" s="16">
        <f t="shared" si="639"/>
        <v>10</v>
      </c>
      <c r="Q240" s="16">
        <f t="shared" si="678"/>
        <v>-30</v>
      </c>
      <c r="R240" s="14"/>
      <c r="S240" s="15">
        <f t="shared" ref="S240:S249" si="687">R240*10</f>
        <v>0</v>
      </c>
      <c r="T240" s="14"/>
      <c r="U240" s="15">
        <f t="shared" ref="U240:U249" si="688">T240*-15</f>
        <v>0</v>
      </c>
      <c r="V240" s="16">
        <f t="shared" ref="V240:V249" si="689">IF(AND(R240=2),10,IF(R240=3,30,IF(R240=4,50,IF(R240=5,70,0))))</f>
        <v>0</v>
      </c>
      <c r="W240" s="17">
        <f t="shared" ref="W240:W249" si="690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16</v>
      </c>
      <c r="D241" s="21" t="str">
        <f>Spieltag!B228</f>
        <v>Jakub Kaminski (A)</v>
      </c>
      <c r="E241" s="12" t="str">
        <f>Spieltag!C228</f>
        <v>Mittelfeld</v>
      </c>
      <c r="F241" s="13" t="s">
        <v>55</v>
      </c>
      <c r="G241" s="14"/>
      <c r="H241" s="15">
        <f t="shared" si="683"/>
        <v>0</v>
      </c>
      <c r="I241" s="14"/>
      <c r="J241" s="15">
        <f t="shared" si="684"/>
        <v>0</v>
      </c>
      <c r="K241" s="14"/>
      <c r="L241" s="15">
        <f t="shared" si="685"/>
        <v>0</v>
      </c>
      <c r="M241" s="14"/>
      <c r="N241" s="15">
        <f t="shared" si="686"/>
        <v>0</v>
      </c>
      <c r="O241" s="16">
        <f t="shared" si="638"/>
        <v>0</v>
      </c>
      <c r="P241" s="16">
        <f t="shared" si="639"/>
        <v>10</v>
      </c>
      <c r="Q241" s="16">
        <f t="shared" si="678"/>
        <v>-30</v>
      </c>
      <c r="R241" s="14"/>
      <c r="S241" s="15">
        <f t="shared" si="687"/>
        <v>0</v>
      </c>
      <c r="T241" s="14"/>
      <c r="U241" s="15">
        <f t="shared" si="688"/>
        <v>0</v>
      </c>
      <c r="V241" s="16">
        <f t="shared" si="689"/>
        <v>0</v>
      </c>
      <c r="W241" s="17">
        <f t="shared" si="690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19</v>
      </c>
      <c r="D242" s="21" t="str">
        <f>Spieltag!B229</f>
        <v>Lovro Majer (A)</v>
      </c>
      <c r="E242" s="12" t="str">
        <f>Spieltag!C229</f>
        <v>Mittelfeld</v>
      </c>
      <c r="F242" s="13" t="s">
        <v>55</v>
      </c>
      <c r="G242" s="14"/>
      <c r="H242" s="15">
        <f t="shared" ref="H242" si="691">IF(G242="x",10,0)</f>
        <v>0</v>
      </c>
      <c r="I242" s="14"/>
      <c r="J242" s="15">
        <f t="shared" ref="J242" si="692">IF((I242="x"),-10,0)</f>
        <v>0</v>
      </c>
      <c r="K242" s="14"/>
      <c r="L242" s="15">
        <f t="shared" ref="L242" si="693">IF((K242="x"),-20,0)</f>
        <v>0</v>
      </c>
      <c r="M242" s="14"/>
      <c r="N242" s="15">
        <f t="shared" ref="N242" si="694">IF((M242="x"),-30,0)</f>
        <v>0</v>
      </c>
      <c r="O242" s="16">
        <f t="shared" si="638"/>
        <v>0</v>
      </c>
      <c r="P242" s="16">
        <f t="shared" si="639"/>
        <v>10</v>
      </c>
      <c r="Q242" s="16">
        <f t="shared" si="678"/>
        <v>-30</v>
      </c>
      <c r="R242" s="14"/>
      <c r="S242" s="15">
        <f t="shared" ref="S242" si="695">R242*10</f>
        <v>0</v>
      </c>
      <c r="T242" s="14"/>
      <c r="U242" s="15">
        <f t="shared" ref="U242" si="696">T242*-15</f>
        <v>0</v>
      </c>
      <c r="V242" s="16">
        <f t="shared" ref="V242" si="697">IF(AND(R242=2),10,IF(R242=3,30,IF(R242=4,50,IF(R242=5,70,0))))</f>
        <v>0</v>
      </c>
      <c r="W242" s="17">
        <f t="shared" ref="W242" si="698">IF(G242="x",H242+J242+L242+N242+O242+P242+Q242+S242+U242+V242,0)</f>
        <v>0</v>
      </c>
    </row>
    <row r="243" spans="1:23" ht="10.5" customHeight="1" x14ac:dyDescent="0.2">
      <c r="A243" s="11"/>
      <c r="B243" s="149">
        <f>COUNTA(Spieltag!K230:AA230)</f>
        <v>2</v>
      </c>
      <c r="C243" s="166">
        <f>Spieltag!A230</f>
        <v>20</v>
      </c>
      <c r="D243" s="21" t="str">
        <f>Spieltag!B230</f>
        <v>Ridle Baku</v>
      </c>
      <c r="E243" s="12" t="str">
        <f>Spieltag!C230</f>
        <v>Mittelfeld</v>
      </c>
      <c r="F243" s="13" t="s">
        <v>55</v>
      </c>
      <c r="G243" s="14" t="s">
        <v>661</v>
      </c>
      <c r="H243" s="15">
        <f t="shared" si="683"/>
        <v>10</v>
      </c>
      <c r="I243" s="14"/>
      <c r="J243" s="15">
        <f t="shared" si="684"/>
        <v>0</v>
      </c>
      <c r="K243" s="14"/>
      <c r="L243" s="15">
        <f t="shared" si="685"/>
        <v>0</v>
      </c>
      <c r="M243" s="14"/>
      <c r="N243" s="15">
        <f t="shared" si="686"/>
        <v>0</v>
      </c>
      <c r="O243" s="16">
        <f t="shared" si="638"/>
        <v>0</v>
      </c>
      <c r="P243" s="16">
        <f t="shared" si="639"/>
        <v>10</v>
      </c>
      <c r="Q243" s="16">
        <f t="shared" si="678"/>
        <v>-30</v>
      </c>
      <c r="R243" s="14"/>
      <c r="S243" s="15">
        <f t="shared" si="687"/>
        <v>0</v>
      </c>
      <c r="T243" s="14"/>
      <c r="U243" s="15">
        <f t="shared" si="688"/>
        <v>0</v>
      </c>
      <c r="V243" s="16">
        <f t="shared" si="689"/>
        <v>0</v>
      </c>
      <c r="W243" s="17">
        <f t="shared" si="690"/>
        <v>-10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27</v>
      </c>
      <c r="D244" s="21" t="str">
        <f>Spieltag!B231</f>
        <v>Maximilian Arnold</v>
      </c>
      <c r="E244" s="12" t="str">
        <f>Spieltag!C231</f>
        <v>Mittelfeld</v>
      </c>
      <c r="F244" s="13" t="s">
        <v>55</v>
      </c>
      <c r="G244" s="14"/>
      <c r="H244" s="15">
        <f t="shared" si="683"/>
        <v>0</v>
      </c>
      <c r="I244" s="14"/>
      <c r="J244" s="15">
        <f t="shared" si="684"/>
        <v>0</v>
      </c>
      <c r="K244" s="14"/>
      <c r="L244" s="15">
        <f t="shared" si="685"/>
        <v>0</v>
      </c>
      <c r="M244" s="14"/>
      <c r="N244" s="15">
        <f t="shared" si="686"/>
        <v>0</v>
      </c>
      <c r="O244" s="16">
        <f t="shared" si="638"/>
        <v>0</v>
      </c>
      <c r="P244" s="16">
        <f t="shared" si="639"/>
        <v>10</v>
      </c>
      <c r="Q244" s="16">
        <f t="shared" si="678"/>
        <v>-30</v>
      </c>
      <c r="R244" s="14"/>
      <c r="S244" s="15">
        <f t="shared" si="687"/>
        <v>0</v>
      </c>
      <c r="T244" s="14"/>
      <c r="U244" s="15">
        <f t="shared" si="688"/>
        <v>0</v>
      </c>
      <c r="V244" s="16">
        <f t="shared" si="689"/>
        <v>0</v>
      </c>
      <c r="W244" s="17">
        <f t="shared" si="690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31</v>
      </c>
      <c r="D245" s="21" t="str">
        <f>Spieltag!B232</f>
        <v>Yannick Gerhardt</v>
      </c>
      <c r="E245" s="12" t="str">
        <f>Spieltag!C232</f>
        <v>Mittelfeld</v>
      </c>
      <c r="F245" s="13" t="s">
        <v>55</v>
      </c>
      <c r="G245" s="14"/>
      <c r="H245" s="15">
        <f t="shared" si="683"/>
        <v>0</v>
      </c>
      <c r="I245" s="14"/>
      <c r="J245" s="15">
        <f t="shared" si="684"/>
        <v>0</v>
      </c>
      <c r="K245" s="14"/>
      <c r="L245" s="15">
        <f t="shared" si="685"/>
        <v>0</v>
      </c>
      <c r="M245" s="14"/>
      <c r="N245" s="15">
        <f t="shared" si="686"/>
        <v>0</v>
      </c>
      <c r="O245" s="16">
        <f t="shared" si="638"/>
        <v>0</v>
      </c>
      <c r="P245" s="16">
        <f t="shared" si="639"/>
        <v>10</v>
      </c>
      <c r="Q245" s="16">
        <f t="shared" si="678"/>
        <v>-30</v>
      </c>
      <c r="R245" s="14"/>
      <c r="S245" s="15">
        <f t="shared" si="687"/>
        <v>0</v>
      </c>
      <c r="T245" s="14"/>
      <c r="U245" s="15">
        <f t="shared" si="688"/>
        <v>0</v>
      </c>
      <c r="V245" s="16">
        <f t="shared" si="689"/>
        <v>0</v>
      </c>
      <c r="W245" s="17">
        <f t="shared" si="690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32</v>
      </c>
      <c r="D246" s="21" t="str">
        <f>Spieltag!B233</f>
        <v>Mattias Svanberg (A)</v>
      </c>
      <c r="E246" s="12" t="str">
        <f>Spieltag!C233</f>
        <v>Mittelfeld</v>
      </c>
      <c r="F246" s="13" t="s">
        <v>55</v>
      </c>
      <c r="G246" s="14"/>
      <c r="H246" s="15">
        <f t="shared" si="683"/>
        <v>0</v>
      </c>
      <c r="I246" s="14"/>
      <c r="J246" s="15">
        <f t="shared" si="684"/>
        <v>0</v>
      </c>
      <c r="K246" s="14"/>
      <c r="L246" s="15">
        <f t="shared" si="685"/>
        <v>0</v>
      </c>
      <c r="M246" s="14"/>
      <c r="N246" s="15">
        <f t="shared" si="686"/>
        <v>0</v>
      </c>
      <c r="O246" s="16">
        <f t="shared" si="638"/>
        <v>0</v>
      </c>
      <c r="P246" s="16">
        <f t="shared" si="639"/>
        <v>10</v>
      </c>
      <c r="Q246" s="16">
        <f t="shared" si="678"/>
        <v>-30</v>
      </c>
      <c r="R246" s="14"/>
      <c r="S246" s="15">
        <f t="shared" si="687"/>
        <v>0</v>
      </c>
      <c r="T246" s="14"/>
      <c r="U246" s="15">
        <f t="shared" si="688"/>
        <v>0</v>
      </c>
      <c r="V246" s="16">
        <f t="shared" si="689"/>
        <v>0</v>
      </c>
      <c r="W246" s="17">
        <f t="shared" si="690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39</v>
      </c>
      <c r="D247" s="21" t="str">
        <f>Spieltag!B234</f>
        <v>Patrick Wimmer (A)</v>
      </c>
      <c r="E247" s="12" t="str">
        <f>Spieltag!C234</f>
        <v>Mittelfeld</v>
      </c>
      <c r="F247" s="13" t="s">
        <v>55</v>
      </c>
      <c r="G247" s="14"/>
      <c r="H247" s="15">
        <f t="shared" si="683"/>
        <v>0</v>
      </c>
      <c r="I247" s="14"/>
      <c r="J247" s="15">
        <f t="shared" si="684"/>
        <v>0</v>
      </c>
      <c r="K247" s="14"/>
      <c r="L247" s="15">
        <f t="shared" si="685"/>
        <v>0</v>
      </c>
      <c r="M247" s="14"/>
      <c r="N247" s="15">
        <f t="shared" si="686"/>
        <v>0</v>
      </c>
      <c r="O247" s="16">
        <f t="shared" si="638"/>
        <v>0</v>
      </c>
      <c r="P247" s="16">
        <f t="shared" si="639"/>
        <v>10</v>
      </c>
      <c r="Q247" s="16">
        <f t="shared" si="678"/>
        <v>-30</v>
      </c>
      <c r="R247" s="14"/>
      <c r="S247" s="15">
        <f t="shared" si="687"/>
        <v>0</v>
      </c>
      <c r="T247" s="14"/>
      <c r="U247" s="15">
        <f t="shared" si="688"/>
        <v>0</v>
      </c>
      <c r="V247" s="16">
        <f t="shared" si="689"/>
        <v>0</v>
      </c>
      <c r="W247" s="17">
        <f t="shared" si="690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40</v>
      </c>
      <c r="D248" s="21" t="str">
        <f>Spieltag!B235</f>
        <v>Kevin Paredes (A)</v>
      </c>
      <c r="E248" s="12" t="str">
        <f>Spieltag!C235</f>
        <v>Mittelfeld</v>
      </c>
      <c r="F248" s="13" t="s">
        <v>55</v>
      </c>
      <c r="G248" s="14"/>
      <c r="H248" s="15">
        <f t="shared" si="683"/>
        <v>0</v>
      </c>
      <c r="I248" s="14"/>
      <c r="J248" s="15">
        <f t="shared" si="684"/>
        <v>0</v>
      </c>
      <c r="K248" s="14"/>
      <c r="L248" s="15">
        <f t="shared" si="685"/>
        <v>0</v>
      </c>
      <c r="M248" s="14"/>
      <c r="N248" s="15">
        <f t="shared" si="686"/>
        <v>0</v>
      </c>
      <c r="O248" s="16">
        <f t="shared" si="638"/>
        <v>0</v>
      </c>
      <c r="P248" s="16">
        <f t="shared" si="639"/>
        <v>10</v>
      </c>
      <c r="Q248" s="16">
        <f t="shared" si="678"/>
        <v>-30</v>
      </c>
      <c r="R248" s="14"/>
      <c r="S248" s="15">
        <f t="shared" si="687"/>
        <v>0</v>
      </c>
      <c r="T248" s="14"/>
      <c r="U248" s="15">
        <f t="shared" si="688"/>
        <v>0</v>
      </c>
      <c r="V248" s="16">
        <f t="shared" si="689"/>
        <v>0</v>
      </c>
      <c r="W248" s="17">
        <f t="shared" si="690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9</v>
      </c>
      <c r="D249" s="21" t="str">
        <f>Spieltag!B236</f>
        <v>Amin Sarr (A)</v>
      </c>
      <c r="E249" s="12" t="str">
        <f>Spieltag!C236</f>
        <v>Sturm</v>
      </c>
      <c r="F249" s="13" t="s">
        <v>55</v>
      </c>
      <c r="G249" s="14"/>
      <c r="H249" s="15">
        <f t="shared" si="683"/>
        <v>0</v>
      </c>
      <c r="I249" s="14"/>
      <c r="J249" s="15">
        <f t="shared" si="684"/>
        <v>0</v>
      </c>
      <c r="K249" s="14"/>
      <c r="L249" s="15">
        <f t="shared" si="685"/>
        <v>0</v>
      </c>
      <c r="M249" s="14"/>
      <c r="N249" s="15">
        <f t="shared" si="686"/>
        <v>0</v>
      </c>
      <c r="O249" s="16">
        <f t="shared" ref="O249:O253" si="699">IF(AND($P$11&gt;$Q$11),20,IF($P$11=$Q$11,10,0))</f>
        <v>0</v>
      </c>
      <c r="P249" s="16">
        <f t="shared" ref="P249:P253" si="700">IF(($P$11&lt;&gt;0),$P$11*10,-5)</f>
        <v>10</v>
      </c>
      <c r="Q249" s="16">
        <f t="shared" ref="Q249:Q253" si="701">IF(($Q$11&lt;&gt;0),$Q$11*-10,5)</f>
        <v>-30</v>
      </c>
      <c r="R249" s="14"/>
      <c r="S249" s="15">
        <f t="shared" si="687"/>
        <v>0</v>
      </c>
      <c r="T249" s="14"/>
      <c r="U249" s="15">
        <f t="shared" si="688"/>
        <v>0</v>
      </c>
      <c r="V249" s="16">
        <f t="shared" si="689"/>
        <v>0</v>
      </c>
      <c r="W249" s="17">
        <f t="shared" si="690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10</v>
      </c>
      <c r="D250" s="21" t="str">
        <f>Spieltag!B237</f>
        <v>Lukas Nmecha</v>
      </c>
      <c r="E250" s="12" t="str">
        <f>Spieltag!C237</f>
        <v>Sturm</v>
      </c>
      <c r="F250" s="13" t="s">
        <v>55</v>
      </c>
      <c r="G250" s="14"/>
      <c r="H250" s="15">
        <f t="shared" ref="H250" si="702">IF(G250="x",10,0)</f>
        <v>0</v>
      </c>
      <c r="I250" s="14"/>
      <c r="J250" s="15">
        <f t="shared" ref="J250" si="703">IF((I250="x"),-10,0)</f>
        <v>0</v>
      </c>
      <c r="K250" s="14"/>
      <c r="L250" s="15">
        <f t="shared" ref="L250" si="704">IF((K250="x"),-20,0)</f>
        <v>0</v>
      </c>
      <c r="M250" s="14"/>
      <c r="N250" s="15">
        <f t="shared" ref="N250" si="705">IF((M250="x"),-30,0)</f>
        <v>0</v>
      </c>
      <c r="O250" s="16">
        <f t="shared" si="699"/>
        <v>0</v>
      </c>
      <c r="P250" s="16">
        <f t="shared" si="700"/>
        <v>10</v>
      </c>
      <c r="Q250" s="16">
        <f t="shared" si="701"/>
        <v>-30</v>
      </c>
      <c r="R250" s="14"/>
      <c r="S250" s="15">
        <f t="shared" ref="S250" si="706">R250*10</f>
        <v>0</v>
      </c>
      <c r="T250" s="14"/>
      <c r="U250" s="15">
        <f t="shared" ref="U250" si="707">T250*-15</f>
        <v>0</v>
      </c>
      <c r="V250" s="16">
        <f t="shared" ref="V250" si="708">IF(AND(R250=2),10,IF(R250=3,30,IF(R250=4,50,IF(R250=5,70,0))))</f>
        <v>0</v>
      </c>
      <c r="W250" s="17">
        <f t="shared" ref="W250" si="709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11</v>
      </c>
      <c r="D251" s="21" t="str">
        <f>Spieltag!B238</f>
        <v>Tiago Tomás (A)</v>
      </c>
      <c r="E251" s="12" t="str">
        <f>Spieltag!C238</f>
        <v>Sturm</v>
      </c>
      <c r="F251" s="13" t="s">
        <v>55</v>
      </c>
      <c r="G251" s="14"/>
      <c r="H251" s="15">
        <f t="shared" ref="H251:H253" si="710">IF(G251="x",10,0)</f>
        <v>0</v>
      </c>
      <c r="I251" s="14"/>
      <c r="J251" s="15">
        <f t="shared" ref="J251:J253" si="711">IF((I251="x"),-10,0)</f>
        <v>0</v>
      </c>
      <c r="K251" s="14"/>
      <c r="L251" s="15">
        <f t="shared" ref="L251:L253" si="712">IF((K251="x"),-20,0)</f>
        <v>0</v>
      </c>
      <c r="M251" s="14"/>
      <c r="N251" s="15">
        <f t="shared" ref="N251:N253" si="713">IF((M251="x"),-30,0)</f>
        <v>0</v>
      </c>
      <c r="O251" s="16">
        <f t="shared" si="699"/>
        <v>0</v>
      </c>
      <c r="P251" s="16">
        <f t="shared" si="700"/>
        <v>10</v>
      </c>
      <c r="Q251" s="16">
        <f t="shared" si="701"/>
        <v>-30</v>
      </c>
      <c r="R251" s="14"/>
      <c r="S251" s="15">
        <f t="shared" ref="S251:S253" si="714">R251*10</f>
        <v>0</v>
      </c>
      <c r="T251" s="14"/>
      <c r="U251" s="15">
        <f t="shared" ref="U251:U253" si="715">T251*-15</f>
        <v>0</v>
      </c>
      <c r="V251" s="16">
        <f t="shared" ref="V251:V253" si="716">IF(AND(R251=2),10,IF(R251=3,30,IF(R251=4,50,IF(R251=5,70,0))))</f>
        <v>0</v>
      </c>
      <c r="W251" s="17">
        <f t="shared" ref="W251:W253" si="717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18</v>
      </c>
      <c r="D252" s="21" t="str">
        <f>Spieltag!B239</f>
        <v>Dženan Pejčinović</v>
      </c>
      <c r="E252" s="12" t="str">
        <f>Spieltag!C239</f>
        <v>Sturm</v>
      </c>
      <c r="F252" s="13" t="s">
        <v>55</v>
      </c>
      <c r="G252" s="14"/>
      <c r="H252" s="15">
        <f t="shared" si="710"/>
        <v>0</v>
      </c>
      <c r="I252" s="14"/>
      <c r="J252" s="15">
        <f t="shared" si="711"/>
        <v>0</v>
      </c>
      <c r="K252" s="14"/>
      <c r="L252" s="15">
        <f t="shared" si="712"/>
        <v>0</v>
      </c>
      <c r="M252" s="14"/>
      <c r="N252" s="15">
        <f t="shared" si="713"/>
        <v>0</v>
      </c>
      <c r="O252" s="16">
        <f t="shared" si="699"/>
        <v>0</v>
      </c>
      <c r="P252" s="16">
        <f t="shared" si="700"/>
        <v>10</v>
      </c>
      <c r="Q252" s="16">
        <f t="shared" si="701"/>
        <v>-30</v>
      </c>
      <c r="R252" s="14"/>
      <c r="S252" s="15">
        <f t="shared" si="714"/>
        <v>0</v>
      </c>
      <c r="T252" s="14"/>
      <c r="U252" s="15">
        <f t="shared" si="715"/>
        <v>0</v>
      </c>
      <c r="V252" s="16">
        <f t="shared" si="716"/>
        <v>0</v>
      </c>
      <c r="W252" s="17">
        <f t="shared" si="717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23</v>
      </c>
      <c r="D253" s="21" t="str">
        <f>Spieltag!B240</f>
        <v>Jonas Wind (A)</v>
      </c>
      <c r="E253" s="12" t="str">
        <f>Spieltag!C240</f>
        <v>Sturm</v>
      </c>
      <c r="F253" s="13" t="s">
        <v>55</v>
      </c>
      <c r="G253" s="14"/>
      <c r="H253" s="15">
        <f t="shared" si="710"/>
        <v>0</v>
      </c>
      <c r="I253" s="14"/>
      <c r="J253" s="15">
        <f t="shared" si="711"/>
        <v>0</v>
      </c>
      <c r="K253" s="14"/>
      <c r="L253" s="15">
        <f t="shared" si="712"/>
        <v>0</v>
      </c>
      <c r="M253" s="14"/>
      <c r="N253" s="15">
        <f t="shared" si="713"/>
        <v>0</v>
      </c>
      <c r="O253" s="16">
        <f t="shared" si="699"/>
        <v>0</v>
      </c>
      <c r="P253" s="16">
        <f t="shared" si="700"/>
        <v>10</v>
      </c>
      <c r="Q253" s="16">
        <f t="shared" si="701"/>
        <v>-30</v>
      </c>
      <c r="R253" s="14"/>
      <c r="S253" s="15">
        <f t="shared" si="714"/>
        <v>0</v>
      </c>
      <c r="T253" s="14"/>
      <c r="U253" s="15">
        <f t="shared" si="715"/>
        <v>0</v>
      </c>
      <c r="V253" s="16">
        <f t="shared" si="716"/>
        <v>0</v>
      </c>
      <c r="W253" s="17">
        <f t="shared" si="717"/>
        <v>0</v>
      </c>
    </row>
    <row r="254" spans="1:23" s="144" customFormat="1" ht="17.25" hidden="1" thickBot="1" x14ac:dyDescent="0.25">
      <c r="A254" s="142"/>
      <c r="B254" s="143">
        <f>SUM(B255:B281)</f>
        <v>0</v>
      </c>
      <c r="C254" s="158"/>
      <c r="D254" s="234" t="s">
        <v>120</v>
      </c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5"/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1</v>
      </c>
      <c r="D255" s="21" t="str">
        <f>Spieltag!B242</f>
        <v>Lasse Riess</v>
      </c>
      <c r="E255" s="12" t="str">
        <f>Spieltag!C242</f>
        <v>Torwart</v>
      </c>
      <c r="F255" s="13" t="s">
        <v>88</v>
      </c>
      <c r="G255" s="14"/>
      <c r="H255" s="15">
        <f t="shared" ref="H255" si="718">IF(G255="x",10,0)</f>
        <v>0</v>
      </c>
      <c r="I255" s="14"/>
      <c r="J255" s="15">
        <f t="shared" ref="J255" si="719">IF((I255="x"),-10,0)</f>
        <v>0</v>
      </c>
      <c r="K255" s="14"/>
      <c r="L255" s="15">
        <f t="shared" ref="L255" si="720">IF((K255="x"),-20,0)</f>
        <v>0</v>
      </c>
      <c r="M255" s="14"/>
      <c r="N255" s="15">
        <f t="shared" ref="N255" si="721">IF((M255="x"),-30,0)</f>
        <v>0</v>
      </c>
      <c r="O255" s="16">
        <f t="shared" ref="O255:O281" si="722">IF(AND($V$10&gt;$W$10),20,IF($V$10=$W$10,10,0))</f>
        <v>0</v>
      </c>
      <c r="P255" s="16">
        <f t="shared" ref="P255:P281" si="723">IF(($V$10&lt;&gt;0),$V$10*10,-5)</f>
        <v>-5</v>
      </c>
      <c r="Q255" s="16">
        <f t="shared" ref="Q255:Q257" si="724">IF(($W$10&lt;&gt;0),$W$10*-10,20)</f>
        <v>-10</v>
      </c>
      <c r="R255" s="14"/>
      <c r="S255" s="15">
        <f t="shared" ref="S255" si="725">R255*20</f>
        <v>0</v>
      </c>
      <c r="T255" s="14"/>
      <c r="U255" s="15">
        <f t="shared" ref="U255" si="726">T255*-15</f>
        <v>0</v>
      </c>
      <c r="V255" s="16">
        <f t="shared" ref="V255" si="727">IF(AND(R255=2),10,IF(R255=3,30,IF(R255=4,50,IF(R255=5,70,0))))</f>
        <v>0</v>
      </c>
      <c r="W255" s="17">
        <f t="shared" ref="W255" si="728">IF(G255="x",H255+J255+L255+N255+O255+P255+Q255+S255+U255+V255,0)</f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27</v>
      </c>
      <c r="D256" s="21" t="str">
        <f>Spieltag!B243</f>
        <v>Robin Zentner</v>
      </c>
      <c r="E256" s="12" t="str">
        <f>Spieltag!C243</f>
        <v>Torwart</v>
      </c>
      <c r="F256" s="13" t="s">
        <v>88</v>
      </c>
      <c r="G256" s="14"/>
      <c r="H256" s="15">
        <f t="shared" ref="H256:H258" si="729">IF(G256="x",10,0)</f>
        <v>0</v>
      </c>
      <c r="I256" s="14"/>
      <c r="J256" s="15">
        <f t="shared" ref="J256:J258" si="730">IF((I256="x"),-10,0)</f>
        <v>0</v>
      </c>
      <c r="K256" s="14"/>
      <c r="L256" s="15">
        <f t="shared" ref="L256:L258" si="731">IF((K256="x"),-20,0)</f>
        <v>0</v>
      </c>
      <c r="M256" s="14"/>
      <c r="N256" s="15">
        <f t="shared" ref="N256:N258" si="732">IF((M256="x"),-30,0)</f>
        <v>0</v>
      </c>
      <c r="O256" s="16">
        <f t="shared" si="722"/>
        <v>0</v>
      </c>
      <c r="P256" s="16">
        <f t="shared" si="723"/>
        <v>-5</v>
      </c>
      <c r="Q256" s="16">
        <f t="shared" si="724"/>
        <v>-10</v>
      </c>
      <c r="R256" s="14"/>
      <c r="S256" s="15">
        <f t="shared" ref="S256:S257" si="733">R256*20</f>
        <v>0</v>
      </c>
      <c r="T256" s="14"/>
      <c r="U256" s="15">
        <f t="shared" ref="U256:U258" si="734">T256*-15</f>
        <v>0</v>
      </c>
      <c r="V256" s="16">
        <f t="shared" ref="V256:V258" si="735">IF(AND(R256=2),10,IF(R256=3,30,IF(R256=4,50,IF(R256=5,70,0))))</f>
        <v>0</v>
      </c>
      <c r="W256" s="17">
        <f t="shared" ref="W256:W258" si="736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33</v>
      </c>
      <c r="D257" s="21" t="str">
        <f>Spieltag!B244</f>
        <v>Daniel Batz</v>
      </c>
      <c r="E257" s="12" t="str">
        <f>Spieltag!C244</f>
        <v>Torwart</v>
      </c>
      <c r="F257" s="13" t="s">
        <v>88</v>
      </c>
      <c r="G257" s="14"/>
      <c r="H257" s="15">
        <f t="shared" si="729"/>
        <v>0</v>
      </c>
      <c r="I257" s="14"/>
      <c r="J257" s="15">
        <f t="shared" si="730"/>
        <v>0</v>
      </c>
      <c r="K257" s="14"/>
      <c r="L257" s="15">
        <f t="shared" si="731"/>
        <v>0</v>
      </c>
      <c r="M257" s="14"/>
      <c r="N257" s="15">
        <f t="shared" si="732"/>
        <v>0</v>
      </c>
      <c r="O257" s="16">
        <f t="shared" si="722"/>
        <v>0</v>
      </c>
      <c r="P257" s="16">
        <f t="shared" si="723"/>
        <v>-5</v>
      </c>
      <c r="Q257" s="16">
        <f t="shared" si="724"/>
        <v>-10</v>
      </c>
      <c r="R257" s="14"/>
      <c r="S257" s="15">
        <f t="shared" si="733"/>
        <v>0</v>
      </c>
      <c r="T257" s="14"/>
      <c r="U257" s="15">
        <f t="shared" si="734"/>
        <v>0</v>
      </c>
      <c r="V257" s="16">
        <f t="shared" si="735"/>
        <v>0</v>
      </c>
      <c r="W257" s="17">
        <f t="shared" si="736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2</v>
      </c>
      <c r="D258" s="21" t="str">
        <f>Spieltag!B245</f>
        <v>Philipp Mwene (A)</v>
      </c>
      <c r="E258" s="12" t="str">
        <f>Spieltag!C245</f>
        <v>Abwehr</v>
      </c>
      <c r="F258" s="13" t="s">
        <v>88</v>
      </c>
      <c r="G258" s="14"/>
      <c r="H258" s="15">
        <f t="shared" si="729"/>
        <v>0</v>
      </c>
      <c r="I258" s="14"/>
      <c r="J258" s="15">
        <f t="shared" si="730"/>
        <v>0</v>
      </c>
      <c r="K258" s="14"/>
      <c r="L258" s="15">
        <f t="shared" si="731"/>
        <v>0</v>
      </c>
      <c r="M258" s="14"/>
      <c r="N258" s="15">
        <f t="shared" si="732"/>
        <v>0</v>
      </c>
      <c r="O258" s="16">
        <f t="shared" si="722"/>
        <v>0</v>
      </c>
      <c r="P258" s="16">
        <f t="shared" si="723"/>
        <v>-5</v>
      </c>
      <c r="Q258" s="16">
        <f t="shared" ref="Q258:Q266" si="737">IF(($W$10&lt;&gt;0),$W$10*-10,15)</f>
        <v>-10</v>
      </c>
      <c r="R258" s="14"/>
      <c r="S258" s="15">
        <f t="shared" ref="S258" si="738">R258*15</f>
        <v>0</v>
      </c>
      <c r="T258" s="14"/>
      <c r="U258" s="15">
        <f t="shared" si="734"/>
        <v>0</v>
      </c>
      <c r="V258" s="16">
        <f t="shared" si="735"/>
        <v>0</v>
      </c>
      <c r="W258" s="17">
        <f t="shared" si="736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3</v>
      </c>
      <c r="D259" s="21" t="str">
        <f>Spieltag!B246</f>
        <v>Sepp van den Berg (A)</v>
      </c>
      <c r="E259" s="12" t="str">
        <f>Spieltag!C246</f>
        <v>Abwehr</v>
      </c>
      <c r="F259" s="13" t="s">
        <v>88</v>
      </c>
      <c r="G259" s="14"/>
      <c r="H259" s="15">
        <f t="shared" ref="H259" si="739">IF(G259="x",10,0)</f>
        <v>0</v>
      </c>
      <c r="I259" s="14"/>
      <c r="J259" s="15">
        <f t="shared" ref="J259" si="740">IF((I259="x"),-10,0)</f>
        <v>0</v>
      </c>
      <c r="K259" s="14"/>
      <c r="L259" s="15">
        <f t="shared" ref="L259" si="741">IF((K259="x"),-20,0)</f>
        <v>0</v>
      </c>
      <c r="M259" s="14"/>
      <c r="N259" s="15">
        <f t="shared" ref="N259" si="742">IF((M259="x"),-30,0)</f>
        <v>0</v>
      </c>
      <c r="O259" s="16">
        <f t="shared" si="722"/>
        <v>0</v>
      </c>
      <c r="P259" s="16">
        <f t="shared" si="723"/>
        <v>-5</v>
      </c>
      <c r="Q259" s="16">
        <f t="shared" si="737"/>
        <v>-10</v>
      </c>
      <c r="R259" s="14"/>
      <c r="S259" s="15">
        <f t="shared" ref="S259" si="743">R259*15</f>
        <v>0</v>
      </c>
      <c r="T259" s="14"/>
      <c r="U259" s="15">
        <f t="shared" ref="U259" si="744">T259*-15</f>
        <v>0</v>
      </c>
      <c r="V259" s="16">
        <f t="shared" ref="V259" si="745">IF(AND(R259=2),10,IF(R259=3,30,IF(R259=4,50,IF(R259=5,70,0))))</f>
        <v>0</v>
      </c>
      <c r="W259" s="17">
        <f t="shared" ref="W259" si="746">IF(G259="x",H259+J259+L259+N259+O259+P259+Q259+S259+U259+V259,0)</f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5</v>
      </c>
      <c r="D260" s="21" t="str">
        <f>Spieltag!B247</f>
        <v>Maxim Leitsch</v>
      </c>
      <c r="E260" s="12" t="str">
        <f>Spieltag!C247</f>
        <v>Abwehr</v>
      </c>
      <c r="F260" s="13" t="s">
        <v>88</v>
      </c>
      <c r="G260" s="14"/>
      <c r="H260" s="15">
        <f t="shared" ref="H260:H266" si="747">IF(G260="x",10,0)</f>
        <v>0</v>
      </c>
      <c r="I260" s="14"/>
      <c r="J260" s="15">
        <f t="shared" ref="J260:J266" si="748">IF((I260="x"),-10,0)</f>
        <v>0</v>
      </c>
      <c r="K260" s="14"/>
      <c r="L260" s="15">
        <f t="shared" ref="L260:L266" si="749">IF((K260="x"),-20,0)</f>
        <v>0</v>
      </c>
      <c r="M260" s="14"/>
      <c r="N260" s="15">
        <f t="shared" ref="N260:N266" si="750">IF((M260="x"),-30,0)</f>
        <v>0</v>
      </c>
      <c r="O260" s="16">
        <f t="shared" si="722"/>
        <v>0</v>
      </c>
      <c r="P260" s="16">
        <f t="shared" si="723"/>
        <v>-5</v>
      </c>
      <c r="Q260" s="16">
        <f t="shared" si="737"/>
        <v>-10</v>
      </c>
      <c r="R260" s="14"/>
      <c r="S260" s="15">
        <f t="shared" ref="S260:S266" si="751">R260*15</f>
        <v>0</v>
      </c>
      <c r="T260" s="14"/>
      <c r="U260" s="15">
        <f t="shared" ref="U260:U266" si="752">T260*-15</f>
        <v>0</v>
      </c>
      <c r="V260" s="16">
        <f t="shared" ref="V260:V266" si="753">IF(AND(R260=2),10,IF(R260=3,30,IF(R260=4,50,IF(R260=5,70,0))))</f>
        <v>0</v>
      </c>
      <c r="W260" s="17">
        <f t="shared" ref="W260:W266" si="754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16</v>
      </c>
      <c r="D261" s="21" t="str">
        <f>Spieltag!B248</f>
        <v>Stefan Bell</v>
      </c>
      <c r="E261" s="12" t="str">
        <f>Spieltag!C248</f>
        <v>Abwehr</v>
      </c>
      <c r="F261" s="13" t="s">
        <v>88</v>
      </c>
      <c r="G261" s="14"/>
      <c r="H261" s="15">
        <f t="shared" si="747"/>
        <v>0</v>
      </c>
      <c r="I261" s="14"/>
      <c r="J261" s="15">
        <f t="shared" si="748"/>
        <v>0</v>
      </c>
      <c r="K261" s="14"/>
      <c r="L261" s="15">
        <f t="shared" si="749"/>
        <v>0</v>
      </c>
      <c r="M261" s="14"/>
      <c r="N261" s="15">
        <f t="shared" si="750"/>
        <v>0</v>
      </c>
      <c r="O261" s="16">
        <f t="shared" si="722"/>
        <v>0</v>
      </c>
      <c r="P261" s="16">
        <f t="shared" si="723"/>
        <v>-5</v>
      </c>
      <c r="Q261" s="16">
        <f t="shared" si="737"/>
        <v>-10</v>
      </c>
      <c r="R261" s="14"/>
      <c r="S261" s="15">
        <f t="shared" si="751"/>
        <v>0</v>
      </c>
      <c r="T261" s="14"/>
      <c r="U261" s="15">
        <f t="shared" si="752"/>
        <v>0</v>
      </c>
      <c r="V261" s="16">
        <f t="shared" si="753"/>
        <v>0</v>
      </c>
      <c r="W261" s="17">
        <f t="shared" si="754"/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19</v>
      </c>
      <c r="D262" s="21" t="str">
        <f>Spieltag!B249</f>
        <v>Anthony Caci (A)</v>
      </c>
      <c r="E262" s="12" t="str">
        <f>Spieltag!C249</f>
        <v>Abwehr</v>
      </c>
      <c r="F262" s="13" t="s">
        <v>88</v>
      </c>
      <c r="G262" s="14"/>
      <c r="H262" s="15">
        <f t="shared" si="747"/>
        <v>0</v>
      </c>
      <c r="I262" s="14"/>
      <c r="J262" s="15">
        <f t="shared" si="748"/>
        <v>0</v>
      </c>
      <c r="K262" s="14"/>
      <c r="L262" s="15">
        <f t="shared" si="749"/>
        <v>0</v>
      </c>
      <c r="M262" s="14"/>
      <c r="N262" s="15">
        <f t="shared" si="750"/>
        <v>0</v>
      </c>
      <c r="O262" s="16">
        <f t="shared" si="722"/>
        <v>0</v>
      </c>
      <c r="P262" s="16">
        <f t="shared" si="723"/>
        <v>-5</v>
      </c>
      <c r="Q262" s="16">
        <f t="shared" si="737"/>
        <v>-10</v>
      </c>
      <c r="R262" s="14"/>
      <c r="S262" s="15">
        <f t="shared" si="751"/>
        <v>0</v>
      </c>
      <c r="T262" s="14"/>
      <c r="U262" s="15">
        <f t="shared" si="752"/>
        <v>0</v>
      </c>
      <c r="V262" s="16">
        <f t="shared" si="753"/>
        <v>0</v>
      </c>
      <c r="W262" s="17">
        <f t="shared" si="754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20</v>
      </c>
      <c r="D263" s="21" t="str">
        <f>Spieltag!B250</f>
        <v>Edimilson Fernandes (A)</v>
      </c>
      <c r="E263" s="12" t="str">
        <f>Spieltag!C250</f>
        <v>Abwehr</v>
      </c>
      <c r="F263" s="13" t="s">
        <v>88</v>
      </c>
      <c r="G263" s="14"/>
      <c r="H263" s="15">
        <f t="shared" si="747"/>
        <v>0</v>
      </c>
      <c r="I263" s="14"/>
      <c r="J263" s="15">
        <f t="shared" si="748"/>
        <v>0</v>
      </c>
      <c r="K263" s="14"/>
      <c r="L263" s="15">
        <f t="shared" si="749"/>
        <v>0</v>
      </c>
      <c r="M263" s="14"/>
      <c r="N263" s="15">
        <f t="shared" si="750"/>
        <v>0</v>
      </c>
      <c r="O263" s="16">
        <f t="shared" si="722"/>
        <v>0</v>
      </c>
      <c r="P263" s="16">
        <f t="shared" si="723"/>
        <v>-5</v>
      </c>
      <c r="Q263" s="16">
        <f t="shared" si="737"/>
        <v>-10</v>
      </c>
      <c r="R263" s="14"/>
      <c r="S263" s="15">
        <f t="shared" si="751"/>
        <v>0</v>
      </c>
      <c r="T263" s="14"/>
      <c r="U263" s="15">
        <f t="shared" si="752"/>
        <v>0</v>
      </c>
      <c r="V263" s="16">
        <f t="shared" si="753"/>
        <v>0</v>
      </c>
      <c r="W263" s="17">
        <f t="shared" si="754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21</v>
      </c>
      <c r="D264" s="21" t="str">
        <f>Spieltag!B251</f>
        <v>Danny da Costa</v>
      </c>
      <c r="E264" s="12" t="str">
        <f>Spieltag!C251</f>
        <v>Abwehr</v>
      </c>
      <c r="F264" s="13" t="s">
        <v>88</v>
      </c>
      <c r="G264" s="14"/>
      <c r="H264" s="15">
        <f t="shared" si="747"/>
        <v>0</v>
      </c>
      <c r="I264" s="14"/>
      <c r="J264" s="15">
        <f t="shared" si="748"/>
        <v>0</v>
      </c>
      <c r="K264" s="14"/>
      <c r="L264" s="15">
        <f t="shared" si="749"/>
        <v>0</v>
      </c>
      <c r="M264" s="14"/>
      <c r="N264" s="15">
        <f t="shared" si="750"/>
        <v>0</v>
      </c>
      <c r="O264" s="16">
        <f t="shared" si="722"/>
        <v>0</v>
      </c>
      <c r="P264" s="16">
        <f t="shared" si="723"/>
        <v>-5</v>
      </c>
      <c r="Q264" s="16">
        <f t="shared" si="737"/>
        <v>-10</v>
      </c>
      <c r="R264" s="14"/>
      <c r="S264" s="15">
        <f t="shared" si="751"/>
        <v>0</v>
      </c>
      <c r="T264" s="14"/>
      <c r="U264" s="15">
        <f t="shared" si="752"/>
        <v>0</v>
      </c>
      <c r="V264" s="16">
        <f t="shared" si="753"/>
        <v>0</v>
      </c>
      <c r="W264" s="17">
        <f t="shared" si="754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25</v>
      </c>
      <c r="D265" s="21" t="str">
        <f>Spieltag!B252</f>
        <v>Andreas Hanche-Olsen (A)</v>
      </c>
      <c r="E265" s="12" t="str">
        <f>Spieltag!C252</f>
        <v>Abwehr</v>
      </c>
      <c r="F265" s="13" t="s">
        <v>88</v>
      </c>
      <c r="G265" s="14"/>
      <c r="H265" s="15">
        <f t="shared" si="747"/>
        <v>0</v>
      </c>
      <c r="I265" s="14"/>
      <c r="J265" s="15">
        <f t="shared" si="748"/>
        <v>0</v>
      </c>
      <c r="K265" s="14"/>
      <c r="L265" s="15">
        <f t="shared" si="749"/>
        <v>0</v>
      </c>
      <c r="M265" s="14"/>
      <c r="N265" s="15">
        <f t="shared" si="750"/>
        <v>0</v>
      </c>
      <c r="O265" s="16">
        <f t="shared" si="722"/>
        <v>0</v>
      </c>
      <c r="P265" s="16">
        <f t="shared" si="723"/>
        <v>-5</v>
      </c>
      <c r="Q265" s="16">
        <f t="shared" si="737"/>
        <v>-10</v>
      </c>
      <c r="R265" s="14"/>
      <c r="S265" s="15">
        <f t="shared" si="751"/>
        <v>0</v>
      </c>
      <c r="T265" s="14"/>
      <c r="U265" s="15">
        <f t="shared" si="752"/>
        <v>0</v>
      </c>
      <c r="V265" s="16">
        <f t="shared" si="753"/>
        <v>0</v>
      </c>
      <c r="W265" s="17">
        <f t="shared" si="754"/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30</v>
      </c>
      <c r="D266" s="21" t="str">
        <f>Spieltag!B253</f>
        <v>Silvan Widmer (A)</v>
      </c>
      <c r="E266" s="12" t="str">
        <f>Spieltag!C253</f>
        <v>Abwehr</v>
      </c>
      <c r="F266" s="13" t="s">
        <v>88</v>
      </c>
      <c r="G266" s="14"/>
      <c r="H266" s="15">
        <f t="shared" si="747"/>
        <v>0</v>
      </c>
      <c r="I266" s="14"/>
      <c r="J266" s="15">
        <f t="shared" si="748"/>
        <v>0</v>
      </c>
      <c r="K266" s="14"/>
      <c r="L266" s="15">
        <f t="shared" si="749"/>
        <v>0</v>
      </c>
      <c r="M266" s="14"/>
      <c r="N266" s="15">
        <f t="shared" si="750"/>
        <v>0</v>
      </c>
      <c r="O266" s="16">
        <f t="shared" si="722"/>
        <v>0</v>
      </c>
      <c r="P266" s="16">
        <f t="shared" si="723"/>
        <v>-5</v>
      </c>
      <c r="Q266" s="16">
        <f t="shared" si="737"/>
        <v>-10</v>
      </c>
      <c r="R266" s="14"/>
      <c r="S266" s="15">
        <f t="shared" si="751"/>
        <v>0</v>
      </c>
      <c r="T266" s="14"/>
      <c r="U266" s="15">
        <f t="shared" si="752"/>
        <v>0</v>
      </c>
      <c r="V266" s="16">
        <f t="shared" si="753"/>
        <v>0</v>
      </c>
      <c r="W266" s="17">
        <f t="shared" si="754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4</v>
      </c>
      <c r="D267" s="21" t="str">
        <f>Spieltag!B254</f>
        <v>Aymen Barkok</v>
      </c>
      <c r="E267" s="12" t="str">
        <f>Spieltag!C254</f>
        <v>Mittelfeld</v>
      </c>
      <c r="F267" s="13" t="s">
        <v>88</v>
      </c>
      <c r="G267" s="14"/>
      <c r="H267" s="15">
        <f t="shared" ref="H267" si="755">IF(G267="x",10,0)</f>
        <v>0</v>
      </c>
      <c r="I267" s="14"/>
      <c r="J267" s="15">
        <f t="shared" ref="J267" si="756">IF((I267="x"),-10,0)</f>
        <v>0</v>
      </c>
      <c r="K267" s="14"/>
      <c r="L267" s="15">
        <f t="shared" ref="L267" si="757">IF((K267="x"),-20,0)</f>
        <v>0</v>
      </c>
      <c r="M267" s="14"/>
      <c r="N267" s="15">
        <f t="shared" ref="N267" si="758">IF((M267="x"),-30,0)</f>
        <v>0</v>
      </c>
      <c r="O267" s="16">
        <f t="shared" si="722"/>
        <v>0</v>
      </c>
      <c r="P267" s="16">
        <f t="shared" si="723"/>
        <v>-5</v>
      </c>
      <c r="Q267" s="16">
        <f t="shared" ref="Q267:Q275" si="759">IF(($W$10&lt;&gt;0),$W$10*-10,10)</f>
        <v>-10</v>
      </c>
      <c r="R267" s="14"/>
      <c r="S267" s="15">
        <f>R267*10</f>
        <v>0</v>
      </c>
      <c r="T267" s="14"/>
      <c r="U267" s="15">
        <f t="shared" ref="U267" si="760">T267*-15</f>
        <v>0</v>
      </c>
      <c r="V267" s="16">
        <f t="shared" ref="V267" si="761">IF(AND(R267=2),10,IF(R267=3,30,IF(R267=4,50,IF(R267=5,70,0))))</f>
        <v>0</v>
      </c>
      <c r="W267" s="17">
        <f t="shared" ref="W267" si="762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7</v>
      </c>
      <c r="D268" s="21" t="str">
        <f>Spieltag!B255</f>
        <v>Jae-Sung Lee</v>
      </c>
      <c r="E268" s="12" t="str">
        <f>Spieltag!C255</f>
        <v>Mittelfeld</v>
      </c>
      <c r="F268" s="13" t="s">
        <v>88</v>
      </c>
      <c r="G268" s="14"/>
      <c r="H268" s="15">
        <f t="shared" ref="H268:H275" si="763">IF(G268="x",10,0)</f>
        <v>0</v>
      </c>
      <c r="I268" s="14"/>
      <c r="J268" s="15">
        <f t="shared" ref="J268:J275" si="764">IF((I268="x"),-10,0)</f>
        <v>0</v>
      </c>
      <c r="K268" s="14"/>
      <c r="L268" s="15">
        <f t="shared" ref="L268:L275" si="765">IF((K268="x"),-20,0)</f>
        <v>0</v>
      </c>
      <c r="M268" s="14"/>
      <c r="N268" s="15">
        <f t="shared" ref="N268:N275" si="766">IF((M268="x"),-30,0)</f>
        <v>0</v>
      </c>
      <c r="O268" s="16">
        <f t="shared" si="722"/>
        <v>0</v>
      </c>
      <c r="P268" s="16">
        <f t="shared" si="723"/>
        <v>-5</v>
      </c>
      <c r="Q268" s="16">
        <f t="shared" si="759"/>
        <v>-10</v>
      </c>
      <c r="R268" s="14"/>
      <c r="S268" s="15">
        <f t="shared" ref="S268:S275" si="767">R268*10</f>
        <v>0</v>
      </c>
      <c r="T268" s="14"/>
      <c r="U268" s="15">
        <f t="shared" ref="U268:U275" si="768">T268*-15</f>
        <v>0</v>
      </c>
      <c r="V268" s="16">
        <f t="shared" ref="V268:V275" si="769">IF(AND(R268=2),10,IF(R268=3,30,IF(R268=4,50,IF(R268=5,70,0))))</f>
        <v>0</v>
      </c>
      <c r="W268" s="17">
        <f t="shared" ref="W268:W275" si="770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8</v>
      </c>
      <c r="D269" s="21" t="str">
        <f>Spieltag!B256</f>
        <v>Leandro Barreiro (A)</v>
      </c>
      <c r="E269" s="12" t="str">
        <f>Spieltag!C256</f>
        <v>Mittelfeld</v>
      </c>
      <c r="F269" s="13" t="s">
        <v>88</v>
      </c>
      <c r="G269" s="14"/>
      <c r="H269" s="15">
        <f t="shared" si="763"/>
        <v>0</v>
      </c>
      <c r="I269" s="14"/>
      <c r="J269" s="15">
        <f t="shared" si="764"/>
        <v>0</v>
      </c>
      <c r="K269" s="14"/>
      <c r="L269" s="15">
        <f t="shared" si="765"/>
        <v>0</v>
      </c>
      <c r="M269" s="14"/>
      <c r="N269" s="15">
        <f t="shared" si="766"/>
        <v>0</v>
      </c>
      <c r="O269" s="16">
        <f t="shared" si="722"/>
        <v>0</v>
      </c>
      <c r="P269" s="16">
        <f t="shared" si="723"/>
        <v>-5</v>
      </c>
      <c r="Q269" s="16">
        <f t="shared" si="759"/>
        <v>-10</v>
      </c>
      <c r="R269" s="14"/>
      <c r="S269" s="15">
        <f t="shared" si="767"/>
        <v>0</v>
      </c>
      <c r="T269" s="14"/>
      <c r="U269" s="15">
        <f t="shared" si="768"/>
        <v>0</v>
      </c>
      <c r="V269" s="16">
        <f t="shared" si="769"/>
        <v>0</v>
      </c>
      <c r="W269" s="17">
        <f t="shared" si="770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10</v>
      </c>
      <c r="D270" s="21" t="str">
        <f>Spieltag!B257</f>
        <v>Marco Richter</v>
      </c>
      <c r="E270" s="12" t="str">
        <f>Spieltag!C257</f>
        <v>Mittelfeld</v>
      </c>
      <c r="F270" s="13" t="s">
        <v>88</v>
      </c>
      <c r="G270" s="14"/>
      <c r="H270" s="15">
        <f t="shared" ref="H270" si="771">IF(G270="x",10,0)</f>
        <v>0</v>
      </c>
      <c r="I270" s="14"/>
      <c r="J270" s="15">
        <f t="shared" ref="J270" si="772">IF((I270="x"),-10,0)</f>
        <v>0</v>
      </c>
      <c r="K270" s="14"/>
      <c r="L270" s="15">
        <f t="shared" ref="L270" si="773">IF((K270="x"),-20,0)</f>
        <v>0</v>
      </c>
      <c r="M270" s="14"/>
      <c r="N270" s="15">
        <f t="shared" ref="N270" si="774">IF((M270="x"),-30,0)</f>
        <v>0</v>
      </c>
      <c r="O270" s="16">
        <f t="shared" si="722"/>
        <v>0</v>
      </c>
      <c r="P270" s="16">
        <f t="shared" si="723"/>
        <v>-5</v>
      </c>
      <c r="Q270" s="16">
        <f t="shared" si="759"/>
        <v>-10</v>
      </c>
      <c r="R270" s="14"/>
      <c r="S270" s="15">
        <f t="shared" ref="S270" si="775">R270*10</f>
        <v>0</v>
      </c>
      <c r="T270" s="14"/>
      <c r="U270" s="15">
        <f t="shared" ref="U270" si="776">T270*-15</f>
        <v>0</v>
      </c>
      <c r="V270" s="16">
        <f t="shared" ref="V270" si="777">IF(AND(R270=2),10,IF(R270=3,30,IF(R270=4,50,IF(R270=5,70,0))))</f>
        <v>0</v>
      </c>
      <c r="W270" s="17">
        <f t="shared" ref="W270" si="778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14</v>
      </c>
      <c r="D271" s="21" t="str">
        <f>Spieltag!B258</f>
        <v>Tom Krauss</v>
      </c>
      <c r="E271" s="12" t="str">
        <f>Spieltag!C258</f>
        <v>Mittelfeld</v>
      </c>
      <c r="F271" s="13" t="s">
        <v>88</v>
      </c>
      <c r="G271" s="14"/>
      <c r="H271" s="15">
        <f t="shared" si="763"/>
        <v>0</v>
      </c>
      <c r="I271" s="14"/>
      <c r="J271" s="15">
        <f t="shared" si="764"/>
        <v>0</v>
      </c>
      <c r="K271" s="14"/>
      <c r="L271" s="15">
        <f t="shared" si="765"/>
        <v>0</v>
      </c>
      <c r="M271" s="14"/>
      <c r="N271" s="15">
        <f t="shared" si="766"/>
        <v>0</v>
      </c>
      <c r="O271" s="16">
        <f t="shared" si="722"/>
        <v>0</v>
      </c>
      <c r="P271" s="16">
        <f t="shared" si="723"/>
        <v>-5</v>
      </c>
      <c r="Q271" s="16">
        <f t="shared" si="759"/>
        <v>-10</v>
      </c>
      <c r="R271" s="14"/>
      <c r="S271" s="15">
        <f t="shared" si="767"/>
        <v>0</v>
      </c>
      <c r="T271" s="14"/>
      <c r="U271" s="15">
        <f t="shared" si="768"/>
        <v>0</v>
      </c>
      <c r="V271" s="16">
        <f t="shared" si="769"/>
        <v>0</v>
      </c>
      <c r="W271" s="17">
        <f t="shared" si="770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24</v>
      </c>
      <c r="D272" s="21" t="str">
        <f>Spieltag!B259</f>
        <v>Merveille Papela</v>
      </c>
      <c r="E272" s="12" t="str">
        <f>Spieltag!C259</f>
        <v>Mittelfeld</v>
      </c>
      <c r="F272" s="13" t="s">
        <v>88</v>
      </c>
      <c r="G272" s="14"/>
      <c r="H272" s="15">
        <f t="shared" ref="H272" si="779">IF(G272="x",10,0)</f>
        <v>0</v>
      </c>
      <c r="I272" s="14"/>
      <c r="J272" s="15">
        <f t="shared" ref="J272" si="780">IF((I272="x"),-10,0)</f>
        <v>0</v>
      </c>
      <c r="K272" s="14"/>
      <c r="L272" s="15">
        <f t="shared" ref="L272" si="781">IF((K272="x"),-20,0)</f>
        <v>0</v>
      </c>
      <c r="M272" s="14"/>
      <c r="N272" s="15">
        <f t="shared" ref="N272" si="782">IF((M272="x"),-30,0)</f>
        <v>0</v>
      </c>
      <c r="O272" s="16">
        <f t="shared" si="722"/>
        <v>0</v>
      </c>
      <c r="P272" s="16">
        <f t="shared" si="723"/>
        <v>-5</v>
      </c>
      <c r="Q272" s="16">
        <f t="shared" si="759"/>
        <v>-10</v>
      </c>
      <c r="R272" s="14"/>
      <c r="S272" s="15">
        <f t="shared" ref="S272" si="783">R272*10</f>
        <v>0</v>
      </c>
      <c r="T272" s="14"/>
      <c r="U272" s="15">
        <f t="shared" ref="U272" si="784">T272*-15</f>
        <v>0</v>
      </c>
      <c r="V272" s="16">
        <f t="shared" ref="V272" si="785">IF(AND(R272=2),10,IF(R272=3,30,IF(R272=4,50,IF(R272=5,70,0))))</f>
        <v>0</v>
      </c>
      <c r="W272" s="17">
        <f t="shared" ref="W272" si="786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31</v>
      </c>
      <c r="D273" s="21" t="str">
        <f>Spieltag!B260</f>
        <v>Dominik Kohr</v>
      </c>
      <c r="E273" s="12" t="str">
        <f>Spieltag!C260</f>
        <v>Mittelfeld</v>
      </c>
      <c r="F273" s="13" t="s">
        <v>88</v>
      </c>
      <c r="G273" s="14"/>
      <c r="H273" s="15">
        <f t="shared" si="763"/>
        <v>0</v>
      </c>
      <c r="I273" s="14"/>
      <c r="J273" s="15">
        <f t="shared" si="764"/>
        <v>0</v>
      </c>
      <c r="K273" s="14"/>
      <c r="L273" s="15">
        <f t="shared" si="765"/>
        <v>0</v>
      </c>
      <c r="M273" s="14"/>
      <c r="N273" s="15">
        <f t="shared" si="766"/>
        <v>0</v>
      </c>
      <c r="O273" s="16">
        <f t="shared" si="722"/>
        <v>0</v>
      </c>
      <c r="P273" s="16">
        <f t="shared" si="723"/>
        <v>-5</v>
      </c>
      <c r="Q273" s="16">
        <f t="shared" si="759"/>
        <v>-10</v>
      </c>
      <c r="R273" s="14"/>
      <c r="S273" s="15">
        <f t="shared" si="767"/>
        <v>0</v>
      </c>
      <c r="T273" s="14"/>
      <c r="U273" s="15">
        <f t="shared" si="768"/>
        <v>0</v>
      </c>
      <c r="V273" s="16">
        <f t="shared" si="769"/>
        <v>0</v>
      </c>
      <c r="W273" s="17">
        <f t="shared" si="77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41</v>
      </c>
      <c r="D274" s="21" t="str">
        <f>Spieltag!B261</f>
        <v>Eniss Shabani</v>
      </c>
      <c r="E274" s="12" t="str">
        <f>Spieltag!C261</f>
        <v>Mittelfeld</v>
      </c>
      <c r="F274" s="13" t="s">
        <v>88</v>
      </c>
      <c r="G274" s="14"/>
      <c r="H274" s="15">
        <f t="shared" si="763"/>
        <v>0</v>
      </c>
      <c r="I274" s="14"/>
      <c r="J274" s="15">
        <f t="shared" si="764"/>
        <v>0</v>
      </c>
      <c r="K274" s="14"/>
      <c r="L274" s="15">
        <f t="shared" si="765"/>
        <v>0</v>
      </c>
      <c r="M274" s="14"/>
      <c r="N274" s="15">
        <f t="shared" si="766"/>
        <v>0</v>
      </c>
      <c r="O274" s="16">
        <f t="shared" si="722"/>
        <v>0</v>
      </c>
      <c r="P274" s="16">
        <f t="shared" si="723"/>
        <v>-5</v>
      </c>
      <c r="Q274" s="16">
        <f t="shared" si="759"/>
        <v>-10</v>
      </c>
      <c r="R274" s="14"/>
      <c r="S274" s="15">
        <f t="shared" si="767"/>
        <v>0</v>
      </c>
      <c r="T274" s="14"/>
      <c r="U274" s="15">
        <f t="shared" si="768"/>
        <v>0</v>
      </c>
      <c r="V274" s="16">
        <f t="shared" si="769"/>
        <v>0</v>
      </c>
      <c r="W274" s="17">
        <f t="shared" si="77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45</v>
      </c>
      <c r="D275" s="21" t="str">
        <f>Spieltag!B262</f>
        <v>David Mamutovic</v>
      </c>
      <c r="E275" s="12" t="str">
        <f>Spieltag!C262</f>
        <v>Mittelfeld</v>
      </c>
      <c r="F275" s="13" t="s">
        <v>88</v>
      </c>
      <c r="G275" s="14"/>
      <c r="H275" s="15">
        <f t="shared" si="763"/>
        <v>0</v>
      </c>
      <c r="I275" s="14"/>
      <c r="J275" s="15">
        <f t="shared" si="764"/>
        <v>0</v>
      </c>
      <c r="K275" s="14"/>
      <c r="L275" s="15">
        <f t="shared" si="765"/>
        <v>0</v>
      </c>
      <c r="M275" s="14"/>
      <c r="N275" s="15">
        <f t="shared" si="766"/>
        <v>0</v>
      </c>
      <c r="O275" s="16">
        <f t="shared" si="722"/>
        <v>0</v>
      </c>
      <c r="P275" s="16">
        <f t="shared" si="723"/>
        <v>-5</v>
      </c>
      <c r="Q275" s="16">
        <f t="shared" si="759"/>
        <v>-10</v>
      </c>
      <c r="R275" s="14"/>
      <c r="S275" s="15">
        <f t="shared" si="767"/>
        <v>0</v>
      </c>
      <c r="T275" s="14"/>
      <c r="U275" s="15">
        <f t="shared" si="768"/>
        <v>0</v>
      </c>
      <c r="V275" s="16">
        <f t="shared" si="769"/>
        <v>0</v>
      </c>
      <c r="W275" s="17">
        <f t="shared" si="77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9</v>
      </c>
      <c r="D276" s="21" t="str">
        <f>Spieltag!B263</f>
        <v>Karim Onisiwo (A)</v>
      </c>
      <c r="E276" s="12" t="str">
        <f>Spieltag!C263</f>
        <v>Sturm</v>
      </c>
      <c r="F276" s="13" t="s">
        <v>88</v>
      </c>
      <c r="G276" s="14"/>
      <c r="H276" s="15">
        <f>IF(G276="x",10,0)</f>
        <v>0</v>
      </c>
      <c r="I276" s="14"/>
      <c r="J276" s="15">
        <f>IF((I276="x"),-10,0)</f>
        <v>0</v>
      </c>
      <c r="K276" s="14"/>
      <c r="L276" s="15">
        <f>IF((K276="x"),-20,0)</f>
        <v>0</v>
      </c>
      <c r="M276" s="14"/>
      <c r="N276" s="15">
        <f>IF((M276="x"),-30,0)</f>
        <v>0</v>
      </c>
      <c r="O276" s="16">
        <f t="shared" si="722"/>
        <v>0</v>
      </c>
      <c r="P276" s="16">
        <f t="shared" si="723"/>
        <v>-5</v>
      </c>
      <c r="Q276" s="16">
        <f>IF(($W$10&lt;&gt;0),$W$10*-10,5)</f>
        <v>-10</v>
      </c>
      <c r="R276" s="14"/>
      <c r="S276" s="15">
        <f>R276*10</f>
        <v>0</v>
      </c>
      <c r="T276" s="14"/>
      <c r="U276" s="15">
        <f>T276*-15</f>
        <v>0</v>
      </c>
      <c r="V276" s="16">
        <f>IF(AND(R276=2),10,IF(R276=3,30,IF(R276=4,50,IF(R276=5,70,0))))</f>
        <v>0</v>
      </c>
      <c r="W276" s="17">
        <f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17</v>
      </c>
      <c r="D277" s="21" t="str">
        <f>Spieltag!B264</f>
        <v>Ludovic Ajorque (A)</v>
      </c>
      <c r="E277" s="12" t="str">
        <f>Spieltag!C264</f>
        <v>Sturm</v>
      </c>
      <c r="F277" s="13" t="s">
        <v>88</v>
      </c>
      <c r="G277" s="14"/>
      <c r="H277" s="15">
        <f t="shared" ref="H277:H281" si="787">IF(G277="x",10,0)</f>
        <v>0</v>
      </c>
      <c r="I277" s="14"/>
      <c r="J277" s="15">
        <f t="shared" ref="J277:J281" si="788">IF((I277="x"),-10,0)</f>
        <v>0</v>
      </c>
      <c r="K277" s="14"/>
      <c r="L277" s="15">
        <f t="shared" ref="L277:L281" si="789">IF((K277="x"),-20,0)</f>
        <v>0</v>
      </c>
      <c r="M277" s="14"/>
      <c r="N277" s="15">
        <f t="shared" ref="N277:N281" si="790">IF((M277="x"),-30,0)</f>
        <v>0</v>
      </c>
      <c r="O277" s="16">
        <f t="shared" si="722"/>
        <v>0</v>
      </c>
      <c r="P277" s="16">
        <f t="shared" si="723"/>
        <v>-5</v>
      </c>
      <c r="Q277" s="16">
        <f t="shared" ref="Q277:Q281" si="791">IF(($W$10&lt;&gt;0),$W$10*-10,5)</f>
        <v>-10</v>
      </c>
      <c r="R277" s="14"/>
      <c r="S277" s="15">
        <f t="shared" ref="S277:S281" si="792">R277*10</f>
        <v>0</v>
      </c>
      <c r="T277" s="14"/>
      <c r="U277" s="15">
        <f t="shared" ref="U277:U281" si="793">T277*-15</f>
        <v>0</v>
      </c>
      <c r="V277" s="16">
        <f t="shared" ref="V277:V281" si="794">IF(AND(R277=2),10,IF(R277=3,30,IF(R277=4,50,IF(R277=5,70,0))))</f>
        <v>0</v>
      </c>
      <c r="W277" s="17">
        <f t="shared" ref="W277:W281" si="795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29</v>
      </c>
      <c r="D278" s="21" t="str">
        <f>Spieltag!B265</f>
        <v>Jonathan Burkardt</v>
      </c>
      <c r="E278" s="12" t="str">
        <f>Spieltag!C265</f>
        <v>Sturm</v>
      </c>
      <c r="F278" s="13" t="s">
        <v>88</v>
      </c>
      <c r="G278" s="14"/>
      <c r="H278" s="15">
        <f t="shared" ref="H278:H279" si="796">IF(G278="x",10,0)</f>
        <v>0</v>
      </c>
      <c r="I278" s="14"/>
      <c r="J278" s="15">
        <f t="shared" ref="J278:J279" si="797">IF((I278="x"),-10,0)</f>
        <v>0</v>
      </c>
      <c r="K278" s="14"/>
      <c r="L278" s="15">
        <f t="shared" ref="L278:L279" si="798">IF((K278="x"),-20,0)</f>
        <v>0</v>
      </c>
      <c r="M278" s="14"/>
      <c r="N278" s="15">
        <f t="shared" ref="N278:N279" si="799">IF((M278="x"),-30,0)</f>
        <v>0</v>
      </c>
      <c r="O278" s="16">
        <f t="shared" si="722"/>
        <v>0</v>
      </c>
      <c r="P278" s="16">
        <f t="shared" si="723"/>
        <v>-5</v>
      </c>
      <c r="Q278" s="16">
        <f t="shared" si="791"/>
        <v>-10</v>
      </c>
      <c r="R278" s="14"/>
      <c r="S278" s="15">
        <f t="shared" ref="S278:S279" si="800">R278*10</f>
        <v>0</v>
      </c>
      <c r="T278" s="14"/>
      <c r="U278" s="15">
        <f t="shared" ref="U278:U279" si="801">T278*-15</f>
        <v>0</v>
      </c>
      <c r="V278" s="16">
        <f t="shared" ref="V278:V279" si="802">IF(AND(R278=2),10,IF(R278=3,30,IF(R278=4,50,IF(R278=5,70,0))))</f>
        <v>0</v>
      </c>
      <c r="W278" s="17">
        <f t="shared" ref="W278:W279" si="803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34</v>
      </c>
      <c r="D279" s="21" t="str">
        <f>Spieltag!B266</f>
        <v>Anwar El Ghazi (A)</v>
      </c>
      <c r="E279" s="12" t="str">
        <f>Spieltag!C266</f>
        <v>Sturm</v>
      </c>
      <c r="F279" s="13" t="s">
        <v>88</v>
      </c>
      <c r="G279" s="14"/>
      <c r="H279" s="15">
        <f t="shared" si="796"/>
        <v>0</v>
      </c>
      <c r="I279" s="14"/>
      <c r="J279" s="15">
        <f t="shared" si="797"/>
        <v>0</v>
      </c>
      <c r="K279" s="14"/>
      <c r="L279" s="15">
        <f t="shared" si="798"/>
        <v>0</v>
      </c>
      <c r="M279" s="14"/>
      <c r="N279" s="15">
        <f t="shared" si="799"/>
        <v>0</v>
      </c>
      <c r="O279" s="16">
        <f t="shared" si="722"/>
        <v>0</v>
      </c>
      <c r="P279" s="16">
        <f t="shared" si="723"/>
        <v>-5</v>
      </c>
      <c r="Q279" s="16">
        <f t="shared" si="791"/>
        <v>-10</v>
      </c>
      <c r="R279" s="14"/>
      <c r="S279" s="15">
        <f t="shared" si="800"/>
        <v>0</v>
      </c>
      <c r="T279" s="14"/>
      <c r="U279" s="15">
        <f t="shared" si="801"/>
        <v>0</v>
      </c>
      <c r="V279" s="16">
        <f t="shared" si="802"/>
        <v>0</v>
      </c>
      <c r="W279" s="17">
        <f t="shared" si="803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43</v>
      </c>
      <c r="D280" s="21" t="str">
        <f>Spieltag!B267</f>
        <v>Brajan Gruda</v>
      </c>
      <c r="E280" s="12" t="str">
        <f>Spieltag!C267</f>
        <v>Sturm</v>
      </c>
      <c r="F280" s="13" t="s">
        <v>88</v>
      </c>
      <c r="G280" s="14"/>
      <c r="H280" s="15">
        <f t="shared" si="787"/>
        <v>0</v>
      </c>
      <c r="I280" s="14"/>
      <c r="J280" s="15">
        <f t="shared" si="788"/>
        <v>0</v>
      </c>
      <c r="K280" s="14"/>
      <c r="L280" s="15">
        <f t="shared" si="789"/>
        <v>0</v>
      </c>
      <c r="M280" s="14"/>
      <c r="N280" s="15">
        <f t="shared" si="790"/>
        <v>0</v>
      </c>
      <c r="O280" s="16">
        <f t="shared" si="722"/>
        <v>0</v>
      </c>
      <c r="P280" s="16">
        <f t="shared" si="723"/>
        <v>-5</v>
      </c>
      <c r="Q280" s="16">
        <f t="shared" si="791"/>
        <v>-10</v>
      </c>
      <c r="R280" s="14"/>
      <c r="S280" s="15">
        <f t="shared" si="792"/>
        <v>0</v>
      </c>
      <c r="T280" s="14"/>
      <c r="U280" s="15">
        <f t="shared" si="793"/>
        <v>0</v>
      </c>
      <c r="V280" s="16">
        <f t="shared" si="794"/>
        <v>0</v>
      </c>
      <c r="W280" s="17">
        <f t="shared" si="795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44</v>
      </c>
      <c r="D281" s="21" t="str">
        <f>Spieltag!B268</f>
        <v>Nelson Weiper</v>
      </c>
      <c r="E281" s="12" t="str">
        <f>Spieltag!C268</f>
        <v>Sturm</v>
      </c>
      <c r="F281" s="13" t="s">
        <v>88</v>
      </c>
      <c r="G281" s="14"/>
      <c r="H281" s="15">
        <f t="shared" si="787"/>
        <v>0</v>
      </c>
      <c r="I281" s="14"/>
      <c r="J281" s="15">
        <f t="shared" si="788"/>
        <v>0</v>
      </c>
      <c r="K281" s="14"/>
      <c r="L281" s="15">
        <f t="shared" si="789"/>
        <v>0</v>
      </c>
      <c r="M281" s="14"/>
      <c r="N281" s="15">
        <f t="shared" si="790"/>
        <v>0</v>
      </c>
      <c r="O281" s="16">
        <f t="shared" si="722"/>
        <v>0</v>
      </c>
      <c r="P281" s="16">
        <f t="shared" si="723"/>
        <v>-5</v>
      </c>
      <c r="Q281" s="16">
        <f t="shared" si="791"/>
        <v>-10</v>
      </c>
      <c r="R281" s="14"/>
      <c r="S281" s="15">
        <f t="shared" si="792"/>
        <v>0</v>
      </c>
      <c r="T281" s="14"/>
      <c r="U281" s="15">
        <f t="shared" si="793"/>
        <v>0</v>
      </c>
      <c r="V281" s="16">
        <f t="shared" si="794"/>
        <v>0</v>
      </c>
      <c r="W281" s="17">
        <f t="shared" si="795"/>
        <v>0</v>
      </c>
    </row>
    <row r="282" spans="1:23" s="144" customFormat="1" ht="17.25" thickBot="1" x14ac:dyDescent="0.25">
      <c r="A282" s="142"/>
      <c r="B282" s="143">
        <f>SUM(B283:B313)</f>
        <v>1</v>
      </c>
      <c r="C282" s="158"/>
      <c r="D282" s="234" t="s">
        <v>73</v>
      </c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5"/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</v>
      </c>
      <c r="D283" s="21" t="str">
        <f>Spieltag!B270</f>
        <v>Jonas Omlin (A)</v>
      </c>
      <c r="E283" s="12" t="str">
        <f>Spieltag!C270</f>
        <v>Torwart</v>
      </c>
      <c r="F283" s="13" t="s">
        <v>76</v>
      </c>
      <c r="G283" s="14"/>
      <c r="H283" s="15">
        <f>IF(G283="x",10,0)</f>
        <v>0</v>
      </c>
      <c r="I283" s="14"/>
      <c r="J283" s="15">
        <f>IF((I283="x"),-10,0)</f>
        <v>0</v>
      </c>
      <c r="K283" s="14"/>
      <c r="L283" s="15">
        <f>IF((K283="x"),-20,0)</f>
        <v>0</v>
      </c>
      <c r="M283" s="14"/>
      <c r="N283" s="15">
        <f>IF((M283="x"),-30,0)</f>
        <v>0</v>
      </c>
      <c r="O283" s="16">
        <f>IF(AND($V$11&gt;$W$11),20,IF($V$11=$W$11,10,0))</f>
        <v>20</v>
      </c>
      <c r="P283" s="16">
        <f>IF(($V$11&lt;&gt;0),$V$11*10,-5)</f>
        <v>20</v>
      </c>
      <c r="Q283" s="16">
        <f>IF(($W$11&lt;&gt;0),$W$11*-10,20)</f>
        <v>-10</v>
      </c>
      <c r="R283" s="14"/>
      <c r="S283" s="15">
        <f>R283*20</f>
        <v>0</v>
      </c>
      <c r="T283" s="14"/>
      <c r="U283" s="15">
        <f>T283*-15</f>
        <v>0</v>
      </c>
      <c r="V283" s="16">
        <f>IF(AND(R283=2),10,IF(R283=3,30,IF(R283=4,50,IF(R283=5,70,0))))</f>
        <v>0</v>
      </c>
      <c r="W283" s="17">
        <f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21</v>
      </c>
      <c r="D284" s="21" t="str">
        <f>Spieltag!B271</f>
        <v>Tobias Sippel</v>
      </c>
      <c r="E284" s="12" t="str">
        <f>Spieltag!C271</f>
        <v>Torwart</v>
      </c>
      <c r="F284" s="13" t="s">
        <v>76</v>
      </c>
      <c r="G284" s="14"/>
      <c r="H284" s="15">
        <f t="shared" ref="H284:H287" si="804">IF(G284="x",10,0)</f>
        <v>0</v>
      </c>
      <c r="I284" s="14"/>
      <c r="J284" s="15">
        <f t="shared" ref="J284:J287" si="805">IF((I284="x"),-10,0)</f>
        <v>0</v>
      </c>
      <c r="K284" s="14"/>
      <c r="L284" s="15">
        <f t="shared" ref="L284:L287" si="806">IF((K284="x"),-20,0)</f>
        <v>0</v>
      </c>
      <c r="M284" s="14"/>
      <c r="N284" s="15">
        <f t="shared" ref="N284:N287" si="807">IF((M284="x"),-30,0)</f>
        <v>0</v>
      </c>
      <c r="O284" s="16">
        <f t="shared" ref="O284:O287" si="808">IF(AND($V$11&gt;$W$11),20,IF($V$11=$W$11,10,0))</f>
        <v>20</v>
      </c>
      <c r="P284" s="16">
        <f t="shared" ref="P284:P287" si="809">IF(($V$11&lt;&gt;0),$V$11*10,-5)</f>
        <v>20</v>
      </c>
      <c r="Q284" s="16">
        <f t="shared" ref="Q284:Q287" si="810">IF(($W$11&lt;&gt;0),$W$11*-10,20)</f>
        <v>-10</v>
      </c>
      <c r="R284" s="14"/>
      <c r="S284" s="15">
        <f t="shared" ref="S284:S287" si="811">R284*20</f>
        <v>0</v>
      </c>
      <c r="T284" s="14"/>
      <c r="U284" s="15">
        <f t="shared" ref="U284:U287" si="812">T284*-15</f>
        <v>0</v>
      </c>
      <c r="V284" s="16">
        <f t="shared" ref="V284:V287" si="813">IF(AND(R284=2),10,IF(R284=3,30,IF(R284=4,50,IF(R284=5,70,0))))</f>
        <v>0</v>
      </c>
      <c r="W284" s="17">
        <f t="shared" ref="W284:W287" si="814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33</v>
      </c>
      <c r="D285" s="21" t="str">
        <f>Spieltag!B272</f>
        <v>Moritz Nicolas</v>
      </c>
      <c r="E285" s="12" t="str">
        <f>Spieltag!C272</f>
        <v>Torwart</v>
      </c>
      <c r="F285" s="13" t="s">
        <v>76</v>
      </c>
      <c r="G285" s="14"/>
      <c r="H285" s="15">
        <f t="shared" si="804"/>
        <v>0</v>
      </c>
      <c r="I285" s="14"/>
      <c r="J285" s="15">
        <f t="shared" si="805"/>
        <v>0</v>
      </c>
      <c r="K285" s="14"/>
      <c r="L285" s="15">
        <f t="shared" si="806"/>
        <v>0</v>
      </c>
      <c r="M285" s="14"/>
      <c r="N285" s="15">
        <f t="shared" si="807"/>
        <v>0</v>
      </c>
      <c r="O285" s="16">
        <f t="shared" si="808"/>
        <v>20</v>
      </c>
      <c r="P285" s="16">
        <f t="shared" si="809"/>
        <v>20</v>
      </c>
      <c r="Q285" s="16">
        <f t="shared" si="810"/>
        <v>-10</v>
      </c>
      <c r="R285" s="14"/>
      <c r="S285" s="15">
        <f t="shared" si="811"/>
        <v>0</v>
      </c>
      <c r="T285" s="14"/>
      <c r="U285" s="15">
        <f t="shared" si="812"/>
        <v>0</v>
      </c>
      <c r="V285" s="16">
        <f t="shared" si="813"/>
        <v>0</v>
      </c>
      <c r="W285" s="17">
        <f t="shared" si="814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41</v>
      </c>
      <c r="D286" s="21" t="str">
        <f>Spieltag!B273</f>
        <v>Jan Olschowsky</v>
      </c>
      <c r="E286" s="12" t="str">
        <f>Spieltag!C273</f>
        <v>Torwart</v>
      </c>
      <c r="F286" s="13" t="s">
        <v>76</v>
      </c>
      <c r="G286" s="14"/>
      <c r="H286" s="15">
        <f t="shared" ref="H286" si="815">IF(G286="x",10,0)</f>
        <v>0</v>
      </c>
      <c r="I286" s="14"/>
      <c r="J286" s="15">
        <f t="shared" ref="J286" si="816">IF((I286="x"),-10,0)</f>
        <v>0</v>
      </c>
      <c r="K286" s="14"/>
      <c r="L286" s="15">
        <f t="shared" ref="L286" si="817">IF((K286="x"),-20,0)</f>
        <v>0</v>
      </c>
      <c r="M286" s="14"/>
      <c r="N286" s="15">
        <f t="shared" ref="N286" si="818">IF((M286="x"),-30,0)</f>
        <v>0</v>
      </c>
      <c r="O286" s="16">
        <f t="shared" si="808"/>
        <v>20</v>
      </c>
      <c r="P286" s="16">
        <f t="shared" si="809"/>
        <v>20</v>
      </c>
      <c r="Q286" s="16">
        <f t="shared" si="810"/>
        <v>-10</v>
      </c>
      <c r="R286" s="14"/>
      <c r="S286" s="15">
        <f t="shared" ref="S286" si="819">R286*20</f>
        <v>0</v>
      </c>
      <c r="T286" s="14"/>
      <c r="U286" s="15">
        <f t="shared" ref="U286" si="820">T286*-15</f>
        <v>0</v>
      </c>
      <c r="V286" s="16">
        <f t="shared" ref="V286" si="821">IF(AND(R286=2),10,IF(R286=3,30,IF(R286=4,50,IF(R286=5,70,0))))</f>
        <v>0</v>
      </c>
      <c r="W286" s="17">
        <f t="shared" ref="W286" si="822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Max Brüll</v>
      </c>
      <c r="E287" s="12" t="str">
        <f>Spieltag!C274</f>
        <v>Torwart</v>
      </c>
      <c r="F287" s="13" t="s">
        <v>76</v>
      </c>
      <c r="G287" s="14"/>
      <c r="H287" s="15">
        <f t="shared" si="804"/>
        <v>0</v>
      </c>
      <c r="I287" s="14"/>
      <c r="J287" s="15">
        <f t="shared" si="805"/>
        <v>0</v>
      </c>
      <c r="K287" s="14"/>
      <c r="L287" s="15">
        <f t="shared" si="806"/>
        <v>0</v>
      </c>
      <c r="M287" s="14"/>
      <c r="N287" s="15">
        <f t="shared" si="807"/>
        <v>0</v>
      </c>
      <c r="O287" s="16">
        <f t="shared" si="808"/>
        <v>20</v>
      </c>
      <c r="P287" s="16">
        <f t="shared" si="809"/>
        <v>20</v>
      </c>
      <c r="Q287" s="16">
        <f t="shared" si="810"/>
        <v>-10</v>
      </c>
      <c r="R287" s="14"/>
      <c r="S287" s="15">
        <f t="shared" si="811"/>
        <v>0</v>
      </c>
      <c r="T287" s="14"/>
      <c r="U287" s="15">
        <f t="shared" si="812"/>
        <v>0</v>
      </c>
      <c r="V287" s="16">
        <f t="shared" si="813"/>
        <v>0</v>
      </c>
      <c r="W287" s="17">
        <f t="shared" si="814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2</v>
      </c>
      <c r="D288" s="21" t="str">
        <f>Spieltag!B275</f>
        <v>Fabio Chiarodia</v>
      </c>
      <c r="E288" s="12" t="str">
        <f>Spieltag!C275</f>
        <v>Abwehr</v>
      </c>
      <c r="F288" s="13" t="s">
        <v>76</v>
      </c>
      <c r="G288" s="14"/>
      <c r="H288" s="15">
        <f t="shared" ref="H288" si="823">IF(G288="x",10,0)</f>
        <v>0</v>
      </c>
      <c r="I288" s="14"/>
      <c r="J288" s="15">
        <f t="shared" ref="J288" si="824">IF((I288="x"),-10,0)</f>
        <v>0</v>
      </c>
      <c r="K288" s="14"/>
      <c r="L288" s="15">
        <f t="shared" ref="L288" si="825">IF((K288="x"),-20,0)</f>
        <v>0</v>
      </c>
      <c r="M288" s="14"/>
      <c r="N288" s="15">
        <f t="shared" ref="N288" si="826">IF((M288="x"),-30,0)</f>
        <v>0</v>
      </c>
      <c r="O288" s="16">
        <f t="shared" ref="O288:O298" si="827">IF(AND($V$11&gt;$W$11),20,IF($V$11=$W$11,10,0))</f>
        <v>20</v>
      </c>
      <c r="P288" s="16">
        <f t="shared" ref="P288:P298" si="828">IF(($V$11&lt;&gt;0),$V$11*10,-5)</f>
        <v>20</v>
      </c>
      <c r="Q288" s="16">
        <f t="shared" ref="Q288:Q298" si="829">IF(($W$11&lt;&gt;0),$W$11*-15,15)</f>
        <v>-15</v>
      </c>
      <c r="R288" s="14"/>
      <c r="S288" s="15">
        <f t="shared" ref="S288" si="830">R288*15</f>
        <v>0</v>
      </c>
      <c r="T288" s="14"/>
      <c r="U288" s="15">
        <f t="shared" ref="U288" si="831">T288*-15</f>
        <v>0</v>
      </c>
      <c r="V288" s="16">
        <f t="shared" ref="V288" si="832">IF(AND(R288=2),10,IF(R288=3,30,IF(R288=4,50,IF(R288=5,70,0))))</f>
        <v>0</v>
      </c>
      <c r="W288" s="17">
        <f t="shared" ref="W288" si="83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3</v>
      </c>
      <c r="D289" s="21" t="str">
        <f>Spieltag!B276</f>
        <v>Ko Itakura (A)</v>
      </c>
      <c r="E289" s="12" t="str">
        <f>Spieltag!C276</f>
        <v>Abwehr</v>
      </c>
      <c r="F289" s="13" t="s">
        <v>76</v>
      </c>
      <c r="G289" s="14"/>
      <c r="H289" s="15">
        <f t="shared" ref="H289:H298" si="834">IF(G289="x",10,0)</f>
        <v>0</v>
      </c>
      <c r="I289" s="14"/>
      <c r="J289" s="15">
        <f t="shared" ref="J289:J298" si="835">IF((I289="x"),-10,0)</f>
        <v>0</v>
      </c>
      <c r="K289" s="14"/>
      <c r="L289" s="15">
        <f t="shared" ref="L289:L298" si="836">IF((K289="x"),-20,0)</f>
        <v>0</v>
      </c>
      <c r="M289" s="14"/>
      <c r="N289" s="15">
        <f t="shared" ref="N289:N298" si="837">IF((M289="x"),-30,0)</f>
        <v>0</v>
      </c>
      <c r="O289" s="16">
        <f t="shared" si="827"/>
        <v>20</v>
      </c>
      <c r="P289" s="16">
        <f t="shared" si="828"/>
        <v>20</v>
      </c>
      <c r="Q289" s="16">
        <f t="shared" si="829"/>
        <v>-15</v>
      </c>
      <c r="R289" s="14"/>
      <c r="S289" s="15">
        <f t="shared" ref="S289:S298" si="838">R289*15</f>
        <v>0</v>
      </c>
      <c r="T289" s="14"/>
      <c r="U289" s="15">
        <f t="shared" ref="U289:U298" si="839">T289*-15</f>
        <v>0</v>
      </c>
      <c r="V289" s="16">
        <f t="shared" ref="V289:V298" si="840">IF(AND(R289=2),10,IF(R289=3,30,IF(R289=4,50,IF(R289=5,70,0))))</f>
        <v>0</v>
      </c>
      <c r="W289" s="17">
        <f t="shared" ref="W289:W298" si="84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5</v>
      </c>
      <c r="D290" s="21" t="str">
        <f>Spieltag!B277</f>
        <v>Marvin Friedrich</v>
      </c>
      <c r="E290" s="12" t="str">
        <f>Spieltag!C277</f>
        <v>Abwehr</v>
      </c>
      <c r="F290" s="13" t="s">
        <v>76</v>
      </c>
      <c r="G290" s="14"/>
      <c r="H290" s="15">
        <f t="shared" si="834"/>
        <v>0</v>
      </c>
      <c r="I290" s="14"/>
      <c r="J290" s="15">
        <f t="shared" si="835"/>
        <v>0</v>
      </c>
      <c r="K290" s="14"/>
      <c r="L290" s="15">
        <f t="shared" si="836"/>
        <v>0</v>
      </c>
      <c r="M290" s="14"/>
      <c r="N290" s="15">
        <f t="shared" si="837"/>
        <v>0</v>
      </c>
      <c r="O290" s="16">
        <f t="shared" si="827"/>
        <v>20</v>
      </c>
      <c r="P290" s="16">
        <f t="shared" si="828"/>
        <v>20</v>
      </c>
      <c r="Q290" s="16">
        <f t="shared" si="829"/>
        <v>-15</v>
      </c>
      <c r="R290" s="14"/>
      <c r="S290" s="15">
        <f t="shared" si="838"/>
        <v>0</v>
      </c>
      <c r="T290" s="14"/>
      <c r="U290" s="15">
        <f t="shared" si="839"/>
        <v>0</v>
      </c>
      <c r="V290" s="16">
        <f t="shared" si="840"/>
        <v>0</v>
      </c>
      <c r="W290" s="17">
        <f t="shared" si="84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18</v>
      </c>
      <c r="D291" s="21" t="str">
        <f>Spieltag!B278</f>
        <v>Stefan Lainer (A)</v>
      </c>
      <c r="E291" s="12" t="str">
        <f>Spieltag!C278</f>
        <v>Abwehr</v>
      </c>
      <c r="F291" s="13" t="s">
        <v>76</v>
      </c>
      <c r="G291" s="14"/>
      <c r="H291" s="15">
        <f t="shared" si="834"/>
        <v>0</v>
      </c>
      <c r="I291" s="14"/>
      <c r="J291" s="15">
        <f t="shared" si="835"/>
        <v>0</v>
      </c>
      <c r="K291" s="14"/>
      <c r="L291" s="15">
        <f t="shared" si="836"/>
        <v>0</v>
      </c>
      <c r="M291" s="14"/>
      <c r="N291" s="15">
        <f t="shared" si="837"/>
        <v>0</v>
      </c>
      <c r="O291" s="16">
        <f t="shared" si="827"/>
        <v>20</v>
      </c>
      <c r="P291" s="16">
        <f t="shared" si="828"/>
        <v>20</v>
      </c>
      <c r="Q291" s="16">
        <f t="shared" si="829"/>
        <v>-15</v>
      </c>
      <c r="R291" s="14"/>
      <c r="S291" s="15">
        <f t="shared" si="838"/>
        <v>0</v>
      </c>
      <c r="T291" s="14"/>
      <c r="U291" s="15">
        <f t="shared" si="839"/>
        <v>0</v>
      </c>
      <c r="V291" s="16">
        <f t="shared" si="840"/>
        <v>0</v>
      </c>
      <c r="W291" s="17">
        <f t="shared" si="841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20</v>
      </c>
      <c r="D292" s="21" t="str">
        <f>Spieltag!B279</f>
        <v>Luca Netz</v>
      </c>
      <c r="E292" s="12" t="str">
        <f>Spieltag!C279</f>
        <v>Abwehr</v>
      </c>
      <c r="F292" s="13" t="s">
        <v>76</v>
      </c>
      <c r="G292" s="14"/>
      <c r="H292" s="15">
        <f t="shared" si="834"/>
        <v>0</v>
      </c>
      <c r="I292" s="14"/>
      <c r="J292" s="15">
        <f t="shared" si="835"/>
        <v>0</v>
      </c>
      <c r="K292" s="14"/>
      <c r="L292" s="15">
        <f t="shared" si="836"/>
        <v>0</v>
      </c>
      <c r="M292" s="14"/>
      <c r="N292" s="15">
        <f t="shared" si="837"/>
        <v>0</v>
      </c>
      <c r="O292" s="16">
        <f t="shared" si="827"/>
        <v>20</v>
      </c>
      <c r="P292" s="16">
        <f t="shared" si="828"/>
        <v>20</v>
      </c>
      <c r="Q292" s="16">
        <f t="shared" si="829"/>
        <v>-15</v>
      </c>
      <c r="R292" s="14"/>
      <c r="S292" s="15">
        <f t="shared" si="838"/>
        <v>0</v>
      </c>
      <c r="T292" s="14"/>
      <c r="U292" s="15">
        <f t="shared" si="839"/>
        <v>0</v>
      </c>
      <c r="V292" s="16">
        <f t="shared" si="840"/>
        <v>0</v>
      </c>
      <c r="W292" s="17">
        <f t="shared" si="841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24</v>
      </c>
      <c r="D293" s="21" t="str">
        <f>Spieltag!B280</f>
        <v>Tony Jantschke</v>
      </c>
      <c r="E293" s="12" t="str">
        <f>Spieltag!C280</f>
        <v>Abwehr</v>
      </c>
      <c r="F293" s="13" t="s">
        <v>76</v>
      </c>
      <c r="G293" s="14"/>
      <c r="H293" s="15">
        <f t="shared" si="834"/>
        <v>0</v>
      </c>
      <c r="I293" s="14"/>
      <c r="J293" s="15">
        <f t="shared" si="835"/>
        <v>0</v>
      </c>
      <c r="K293" s="14"/>
      <c r="L293" s="15">
        <f t="shared" si="836"/>
        <v>0</v>
      </c>
      <c r="M293" s="14"/>
      <c r="N293" s="15">
        <f t="shared" si="837"/>
        <v>0</v>
      </c>
      <c r="O293" s="16">
        <f t="shared" si="827"/>
        <v>20</v>
      </c>
      <c r="P293" s="16">
        <f t="shared" si="828"/>
        <v>20</v>
      </c>
      <c r="Q293" s="16">
        <f t="shared" si="829"/>
        <v>-15</v>
      </c>
      <c r="R293" s="14"/>
      <c r="S293" s="15">
        <f t="shared" si="838"/>
        <v>0</v>
      </c>
      <c r="T293" s="14"/>
      <c r="U293" s="15">
        <f t="shared" si="839"/>
        <v>0</v>
      </c>
      <c r="V293" s="16">
        <f t="shared" si="840"/>
        <v>0</v>
      </c>
      <c r="W293" s="17">
        <f t="shared" si="841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26</v>
      </c>
      <c r="D294" s="21" t="str">
        <f>Spieltag!B281</f>
        <v>Lukas Ullrich</v>
      </c>
      <c r="E294" s="12" t="str">
        <f>Spieltag!C281</f>
        <v>Abwehr</v>
      </c>
      <c r="F294" s="13" t="s">
        <v>76</v>
      </c>
      <c r="G294" s="14"/>
      <c r="H294" s="15">
        <f t="shared" si="834"/>
        <v>0</v>
      </c>
      <c r="I294" s="14"/>
      <c r="J294" s="15">
        <f t="shared" si="835"/>
        <v>0</v>
      </c>
      <c r="K294" s="14"/>
      <c r="L294" s="15">
        <f t="shared" si="836"/>
        <v>0</v>
      </c>
      <c r="M294" s="14"/>
      <c r="N294" s="15">
        <f t="shared" si="837"/>
        <v>0</v>
      </c>
      <c r="O294" s="16">
        <f t="shared" si="827"/>
        <v>20</v>
      </c>
      <c r="P294" s="16">
        <f t="shared" si="828"/>
        <v>20</v>
      </c>
      <c r="Q294" s="16">
        <f t="shared" si="829"/>
        <v>-15</v>
      </c>
      <c r="R294" s="14"/>
      <c r="S294" s="15">
        <f t="shared" si="838"/>
        <v>0</v>
      </c>
      <c r="T294" s="14"/>
      <c r="U294" s="15">
        <f t="shared" si="839"/>
        <v>0</v>
      </c>
      <c r="V294" s="16">
        <f t="shared" si="840"/>
        <v>0</v>
      </c>
      <c r="W294" s="17">
        <f t="shared" si="841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29</v>
      </c>
      <c r="D295" s="21" t="str">
        <f>Spieltag!B282</f>
        <v>Joe Scally (A)</v>
      </c>
      <c r="E295" s="12" t="str">
        <f>Spieltag!C282</f>
        <v>Abwehr</v>
      </c>
      <c r="F295" s="13" t="s">
        <v>76</v>
      </c>
      <c r="G295" s="14"/>
      <c r="H295" s="15">
        <f t="shared" si="834"/>
        <v>0</v>
      </c>
      <c r="I295" s="14"/>
      <c r="J295" s="15">
        <f t="shared" si="835"/>
        <v>0</v>
      </c>
      <c r="K295" s="14"/>
      <c r="L295" s="15">
        <f t="shared" si="836"/>
        <v>0</v>
      </c>
      <c r="M295" s="14"/>
      <c r="N295" s="15">
        <f t="shared" si="837"/>
        <v>0</v>
      </c>
      <c r="O295" s="16">
        <f t="shared" si="827"/>
        <v>20</v>
      </c>
      <c r="P295" s="16">
        <f t="shared" si="828"/>
        <v>20</v>
      </c>
      <c r="Q295" s="16">
        <f t="shared" si="829"/>
        <v>-15</v>
      </c>
      <c r="R295" s="14"/>
      <c r="S295" s="15">
        <f t="shared" si="838"/>
        <v>0</v>
      </c>
      <c r="T295" s="14"/>
      <c r="U295" s="15">
        <f t="shared" si="839"/>
        <v>0</v>
      </c>
      <c r="V295" s="16">
        <f t="shared" si="840"/>
        <v>0</v>
      </c>
      <c r="W295" s="17">
        <f t="shared" si="841"/>
        <v>0</v>
      </c>
    </row>
    <row r="296" spans="1:23" ht="10.5" customHeight="1" x14ac:dyDescent="0.2">
      <c r="A296" s="11"/>
      <c r="B296" s="149">
        <f>COUNTA(Spieltag!K283:AA283)</f>
        <v>1</v>
      </c>
      <c r="C296" s="166">
        <f>Spieltag!A283</f>
        <v>30</v>
      </c>
      <c r="D296" s="21" t="str">
        <f>Spieltag!B283</f>
        <v>Nico Elvedi (A)</v>
      </c>
      <c r="E296" s="12" t="str">
        <f>Spieltag!C283</f>
        <v>Abwehr</v>
      </c>
      <c r="F296" s="13" t="s">
        <v>76</v>
      </c>
      <c r="G296" s="14" t="s">
        <v>661</v>
      </c>
      <c r="H296" s="15">
        <f t="shared" si="834"/>
        <v>10</v>
      </c>
      <c r="I296" s="14" t="s">
        <v>661</v>
      </c>
      <c r="J296" s="15">
        <f t="shared" si="835"/>
        <v>-10</v>
      </c>
      <c r="K296" s="14"/>
      <c r="L296" s="15">
        <f t="shared" si="836"/>
        <v>0</v>
      </c>
      <c r="M296" s="14"/>
      <c r="N296" s="15">
        <f t="shared" si="837"/>
        <v>0</v>
      </c>
      <c r="O296" s="16">
        <f t="shared" si="827"/>
        <v>20</v>
      </c>
      <c r="P296" s="16">
        <f t="shared" si="828"/>
        <v>20</v>
      </c>
      <c r="Q296" s="16">
        <f t="shared" si="829"/>
        <v>-15</v>
      </c>
      <c r="R296" s="14"/>
      <c r="S296" s="15">
        <f t="shared" si="838"/>
        <v>0</v>
      </c>
      <c r="T296" s="14"/>
      <c r="U296" s="15">
        <f t="shared" si="839"/>
        <v>0</v>
      </c>
      <c r="V296" s="16">
        <f t="shared" si="840"/>
        <v>0</v>
      </c>
      <c r="W296" s="17">
        <f t="shared" si="841"/>
        <v>25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39</v>
      </c>
      <c r="D297" s="21" t="str">
        <f>Spieltag!B284</f>
        <v>Maximilian Wöber (A)</v>
      </c>
      <c r="E297" s="12" t="str">
        <f>Spieltag!C284</f>
        <v>Abwehr</v>
      </c>
      <c r="F297" s="13" t="s">
        <v>76</v>
      </c>
      <c r="G297" s="14"/>
      <c r="H297" s="15">
        <f t="shared" si="834"/>
        <v>0</v>
      </c>
      <c r="I297" s="14"/>
      <c r="J297" s="15">
        <f t="shared" si="835"/>
        <v>0</v>
      </c>
      <c r="K297" s="14"/>
      <c r="L297" s="15">
        <f t="shared" si="836"/>
        <v>0</v>
      </c>
      <c r="M297" s="14"/>
      <c r="N297" s="15">
        <f t="shared" si="837"/>
        <v>0</v>
      </c>
      <c r="O297" s="16">
        <f t="shared" si="827"/>
        <v>20</v>
      </c>
      <c r="P297" s="16">
        <f t="shared" si="828"/>
        <v>20</v>
      </c>
      <c r="Q297" s="16">
        <f t="shared" si="829"/>
        <v>-15</v>
      </c>
      <c r="R297" s="14"/>
      <c r="S297" s="15">
        <f t="shared" si="838"/>
        <v>0</v>
      </c>
      <c r="T297" s="14"/>
      <c r="U297" s="15">
        <f t="shared" si="839"/>
        <v>0</v>
      </c>
      <c r="V297" s="16">
        <f t="shared" si="840"/>
        <v>0</v>
      </c>
      <c r="W297" s="17">
        <f t="shared" si="84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45</v>
      </c>
      <c r="D298" s="21" t="str">
        <f>Spieltag!B285</f>
        <v>Simon Walde</v>
      </c>
      <c r="E298" s="12" t="str">
        <f>Spieltag!C285</f>
        <v>Abwehr</v>
      </c>
      <c r="F298" s="13" t="s">
        <v>76</v>
      </c>
      <c r="G298" s="14"/>
      <c r="H298" s="15">
        <f t="shared" si="834"/>
        <v>0</v>
      </c>
      <c r="I298" s="14"/>
      <c r="J298" s="15">
        <f t="shared" si="835"/>
        <v>0</v>
      </c>
      <c r="K298" s="14"/>
      <c r="L298" s="15">
        <f t="shared" si="836"/>
        <v>0</v>
      </c>
      <c r="M298" s="14"/>
      <c r="N298" s="15">
        <f t="shared" si="837"/>
        <v>0</v>
      </c>
      <c r="O298" s="16">
        <f t="shared" si="827"/>
        <v>20</v>
      </c>
      <c r="P298" s="16">
        <f t="shared" si="828"/>
        <v>20</v>
      </c>
      <c r="Q298" s="16">
        <f t="shared" si="829"/>
        <v>-15</v>
      </c>
      <c r="R298" s="14"/>
      <c r="S298" s="15">
        <f t="shared" si="838"/>
        <v>0</v>
      </c>
      <c r="T298" s="14"/>
      <c r="U298" s="15">
        <f t="shared" si="839"/>
        <v>0</v>
      </c>
      <c r="V298" s="16">
        <f t="shared" si="840"/>
        <v>0</v>
      </c>
      <c r="W298" s="17">
        <f t="shared" si="84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8</v>
      </c>
      <c r="D299" s="21" t="str">
        <f>Spieltag!B286</f>
        <v>Julian Weigl</v>
      </c>
      <c r="E299" s="12" t="str">
        <f>Spieltag!C286</f>
        <v>Mittelfeld</v>
      </c>
      <c r="F299" s="13" t="s">
        <v>76</v>
      </c>
      <c r="G299" s="14"/>
      <c r="H299" s="15">
        <f t="shared" ref="H299" si="842">IF(G299="x",10,0)</f>
        <v>0</v>
      </c>
      <c r="I299" s="14"/>
      <c r="J299" s="15">
        <f t="shared" ref="J299" si="843">IF((I299="x"),-10,0)</f>
        <v>0</v>
      </c>
      <c r="K299" s="14"/>
      <c r="L299" s="15">
        <f t="shared" ref="L299" si="844">IF((K299="x"),-20,0)</f>
        <v>0</v>
      </c>
      <c r="M299" s="14"/>
      <c r="N299" s="15">
        <f t="shared" ref="N299" si="845">IF((M299="x"),-30,0)</f>
        <v>0</v>
      </c>
      <c r="O299" s="16">
        <f t="shared" ref="O299:O313" si="846">IF(AND($V$11&gt;$W$11),20,IF($V$11=$W$11,10,0))</f>
        <v>20</v>
      </c>
      <c r="P299" s="16">
        <f t="shared" ref="P299:P313" si="847">IF(($V$11&lt;&gt;0),$V$11*10,-5)</f>
        <v>20</v>
      </c>
      <c r="Q299" s="16">
        <f t="shared" ref="Q299:Q307" si="848">IF(($W$11&lt;&gt;0),$W$11*-10,10)</f>
        <v>-10</v>
      </c>
      <c r="R299" s="14"/>
      <c r="S299" s="15">
        <f t="shared" ref="S299" si="849">R299*10</f>
        <v>0</v>
      </c>
      <c r="T299" s="14"/>
      <c r="U299" s="15">
        <f t="shared" ref="U299" si="850">T299*-15</f>
        <v>0</v>
      </c>
      <c r="V299" s="16">
        <f>IF(AND(R299=2),10,IF(R299=3,30,IF(R299=4,50,IF(R299=5,70,0))))</f>
        <v>0</v>
      </c>
      <c r="W299" s="17">
        <f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9</v>
      </c>
      <c r="D300" s="21" t="str">
        <f>Spieltag!B287</f>
        <v>Franck Honorat (A)</v>
      </c>
      <c r="E300" s="12" t="str">
        <f>Spieltag!C287</f>
        <v>Mittelfeld</v>
      </c>
      <c r="F300" s="13" t="s">
        <v>76</v>
      </c>
      <c r="G300" s="14"/>
      <c r="H300" s="15">
        <f t="shared" ref="H300:H307" si="851">IF(G300="x",10,0)</f>
        <v>0</v>
      </c>
      <c r="I300" s="14"/>
      <c r="J300" s="15">
        <f t="shared" ref="J300:J307" si="852">IF((I300="x"),-10,0)</f>
        <v>0</v>
      </c>
      <c r="K300" s="14"/>
      <c r="L300" s="15">
        <f t="shared" ref="L300:L307" si="853">IF((K300="x"),-20,0)</f>
        <v>0</v>
      </c>
      <c r="M300" s="14"/>
      <c r="N300" s="15">
        <f t="shared" ref="N300:N307" si="854">IF((M300="x"),-30,0)</f>
        <v>0</v>
      </c>
      <c r="O300" s="16">
        <f t="shared" si="846"/>
        <v>20</v>
      </c>
      <c r="P300" s="16">
        <f t="shared" si="847"/>
        <v>20</v>
      </c>
      <c r="Q300" s="16">
        <f t="shared" si="848"/>
        <v>-10</v>
      </c>
      <c r="R300" s="14"/>
      <c r="S300" s="15">
        <f t="shared" ref="S300:S307" si="855">R300*10</f>
        <v>0</v>
      </c>
      <c r="T300" s="14"/>
      <c r="U300" s="15">
        <f t="shared" ref="U300:U307" si="856">T300*-15</f>
        <v>0</v>
      </c>
      <c r="V300" s="16">
        <f t="shared" ref="V300:V307" si="857">IF(AND(R300=2),10,IF(R300=3,30,IF(R300=4,50,IF(R300=5,70,0))))</f>
        <v>0</v>
      </c>
      <c r="W300" s="17">
        <f t="shared" ref="W300:W307" si="858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10</v>
      </c>
      <c r="D301" s="21" t="str">
        <f>Spieltag!B288</f>
        <v>Florian Neuhaus</v>
      </c>
      <c r="E301" s="12" t="str">
        <f>Spieltag!C288</f>
        <v>Mittelfeld</v>
      </c>
      <c r="F301" s="13" t="s">
        <v>76</v>
      </c>
      <c r="G301" s="14"/>
      <c r="H301" s="15">
        <f t="shared" ref="H301" si="859">IF(G301="x",10,0)</f>
        <v>0</v>
      </c>
      <c r="I301" s="14"/>
      <c r="J301" s="15">
        <f t="shared" ref="J301" si="860">IF((I301="x"),-10,0)</f>
        <v>0</v>
      </c>
      <c r="K301" s="14"/>
      <c r="L301" s="15">
        <f t="shared" ref="L301" si="861">IF((K301="x"),-20,0)</f>
        <v>0</v>
      </c>
      <c r="M301" s="14"/>
      <c r="N301" s="15">
        <f t="shared" ref="N301" si="862">IF((M301="x"),-30,0)</f>
        <v>0</v>
      </c>
      <c r="O301" s="16">
        <f t="shared" si="846"/>
        <v>20</v>
      </c>
      <c r="P301" s="16">
        <f t="shared" si="847"/>
        <v>20</v>
      </c>
      <c r="Q301" s="16">
        <f t="shared" si="848"/>
        <v>-10</v>
      </c>
      <c r="R301" s="14"/>
      <c r="S301" s="15">
        <f t="shared" ref="S301" si="863">R301*10</f>
        <v>0</v>
      </c>
      <c r="T301" s="14"/>
      <c r="U301" s="15">
        <f t="shared" ref="U301" si="864">T301*-15</f>
        <v>0</v>
      </c>
      <c r="V301" s="16">
        <f t="shared" ref="V301" si="865">IF(AND(R301=2),10,IF(R301=3,30,IF(R301=4,50,IF(R301=5,70,0))))</f>
        <v>0</v>
      </c>
      <c r="W301" s="17">
        <f t="shared" ref="W301" si="866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11</v>
      </c>
      <c r="D302" s="21" t="str">
        <f>Spieltag!B289</f>
        <v>Hannes Wolf (A)</v>
      </c>
      <c r="E302" s="12" t="str">
        <f>Spieltag!C289</f>
        <v>Mittelfeld</v>
      </c>
      <c r="F302" s="13" t="s">
        <v>76</v>
      </c>
      <c r="G302" s="14"/>
      <c r="H302" s="15">
        <f t="shared" si="851"/>
        <v>0</v>
      </c>
      <c r="I302" s="14"/>
      <c r="J302" s="15">
        <f t="shared" si="852"/>
        <v>0</v>
      </c>
      <c r="K302" s="14"/>
      <c r="L302" s="15">
        <f t="shared" si="853"/>
        <v>0</v>
      </c>
      <c r="M302" s="14"/>
      <c r="N302" s="15">
        <f t="shared" si="854"/>
        <v>0</v>
      </c>
      <c r="O302" s="16">
        <f t="shared" si="846"/>
        <v>20</v>
      </c>
      <c r="P302" s="16">
        <f t="shared" si="847"/>
        <v>20</v>
      </c>
      <c r="Q302" s="16">
        <f t="shared" si="848"/>
        <v>-10</v>
      </c>
      <c r="R302" s="14"/>
      <c r="S302" s="15">
        <f t="shared" si="855"/>
        <v>0</v>
      </c>
      <c r="T302" s="14"/>
      <c r="U302" s="15">
        <f t="shared" si="856"/>
        <v>0</v>
      </c>
      <c r="V302" s="16">
        <f t="shared" si="857"/>
        <v>0</v>
      </c>
      <c r="W302" s="17">
        <f t="shared" si="858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17</v>
      </c>
      <c r="D303" s="21" t="str">
        <f>Spieltag!B290</f>
        <v>Manu Koné (A)</v>
      </c>
      <c r="E303" s="12" t="str">
        <f>Spieltag!C290</f>
        <v>Mittelfeld</v>
      </c>
      <c r="F303" s="13" t="s">
        <v>76</v>
      </c>
      <c r="G303" s="14"/>
      <c r="H303" s="15">
        <f t="shared" si="851"/>
        <v>0</v>
      </c>
      <c r="I303" s="14"/>
      <c r="J303" s="15">
        <f t="shared" si="852"/>
        <v>0</v>
      </c>
      <c r="K303" s="14"/>
      <c r="L303" s="15">
        <f t="shared" si="853"/>
        <v>0</v>
      </c>
      <c r="M303" s="14"/>
      <c r="N303" s="15">
        <f t="shared" si="854"/>
        <v>0</v>
      </c>
      <c r="O303" s="16">
        <f t="shared" si="846"/>
        <v>20</v>
      </c>
      <c r="P303" s="16">
        <f t="shared" si="847"/>
        <v>20</v>
      </c>
      <c r="Q303" s="16">
        <f t="shared" si="848"/>
        <v>-10</v>
      </c>
      <c r="R303" s="14"/>
      <c r="S303" s="15">
        <f t="shared" si="855"/>
        <v>0</v>
      </c>
      <c r="T303" s="14"/>
      <c r="U303" s="15">
        <f t="shared" si="856"/>
        <v>0</v>
      </c>
      <c r="V303" s="16">
        <f t="shared" si="857"/>
        <v>0</v>
      </c>
      <c r="W303" s="17">
        <f t="shared" si="858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19</v>
      </c>
      <c r="D304" s="21" t="str">
        <f>Spieltag!B291</f>
        <v>Nathan Ngoumou (A)</v>
      </c>
      <c r="E304" s="12" t="str">
        <f>Spieltag!C291</f>
        <v>Mittelfeld</v>
      </c>
      <c r="F304" s="13" t="s">
        <v>76</v>
      </c>
      <c r="G304" s="14"/>
      <c r="H304" s="15">
        <f t="shared" si="851"/>
        <v>0</v>
      </c>
      <c r="I304" s="14"/>
      <c r="J304" s="15">
        <f t="shared" si="852"/>
        <v>0</v>
      </c>
      <c r="K304" s="14"/>
      <c r="L304" s="15">
        <f t="shared" si="853"/>
        <v>0</v>
      </c>
      <c r="M304" s="14"/>
      <c r="N304" s="15">
        <f t="shared" si="854"/>
        <v>0</v>
      </c>
      <c r="O304" s="16">
        <f t="shared" si="846"/>
        <v>20</v>
      </c>
      <c r="P304" s="16">
        <f t="shared" si="847"/>
        <v>20</v>
      </c>
      <c r="Q304" s="16">
        <f t="shared" si="848"/>
        <v>-10</v>
      </c>
      <c r="R304" s="14"/>
      <c r="S304" s="15">
        <f t="shared" si="855"/>
        <v>0</v>
      </c>
      <c r="T304" s="14"/>
      <c r="U304" s="15">
        <f t="shared" si="856"/>
        <v>0</v>
      </c>
      <c r="V304" s="16">
        <f t="shared" si="857"/>
        <v>0</v>
      </c>
      <c r="W304" s="17">
        <f t="shared" si="858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23</v>
      </c>
      <c r="D305" s="21" t="str">
        <f>Spieltag!B292</f>
        <v>Christoph Kramer</v>
      </c>
      <c r="E305" s="12" t="str">
        <f>Spieltag!C292</f>
        <v>Mittelfeld</v>
      </c>
      <c r="F305" s="13" t="s">
        <v>76</v>
      </c>
      <c r="G305" s="14"/>
      <c r="H305" s="15">
        <f t="shared" si="851"/>
        <v>0</v>
      </c>
      <c r="I305" s="14"/>
      <c r="J305" s="15">
        <f t="shared" si="852"/>
        <v>0</v>
      </c>
      <c r="K305" s="14"/>
      <c r="L305" s="15">
        <f t="shared" si="853"/>
        <v>0</v>
      </c>
      <c r="M305" s="14"/>
      <c r="N305" s="15">
        <f t="shared" si="854"/>
        <v>0</v>
      </c>
      <c r="O305" s="16">
        <f t="shared" si="846"/>
        <v>20</v>
      </c>
      <c r="P305" s="16">
        <f t="shared" si="847"/>
        <v>20</v>
      </c>
      <c r="Q305" s="16">
        <f t="shared" si="848"/>
        <v>-10</v>
      </c>
      <c r="R305" s="14"/>
      <c r="S305" s="15">
        <f t="shared" si="855"/>
        <v>0</v>
      </c>
      <c r="T305" s="14"/>
      <c r="U305" s="15">
        <f t="shared" si="856"/>
        <v>0</v>
      </c>
      <c r="V305" s="16">
        <f t="shared" si="857"/>
        <v>0</v>
      </c>
      <c r="W305" s="17">
        <f t="shared" si="858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25</v>
      </c>
      <c r="D306" s="21" t="str">
        <f>Spieltag!B293</f>
        <v>Robin Hack</v>
      </c>
      <c r="E306" s="12" t="str">
        <f>Spieltag!C293</f>
        <v>Mittelfeld</v>
      </c>
      <c r="F306" s="13" t="s">
        <v>76</v>
      </c>
      <c r="G306" s="14"/>
      <c r="H306" s="15">
        <f t="shared" si="851"/>
        <v>0</v>
      </c>
      <c r="I306" s="14"/>
      <c r="J306" s="15">
        <f t="shared" si="852"/>
        <v>0</v>
      </c>
      <c r="K306" s="14"/>
      <c r="L306" s="15">
        <f t="shared" si="853"/>
        <v>0</v>
      </c>
      <c r="M306" s="14"/>
      <c r="N306" s="15">
        <f t="shared" si="854"/>
        <v>0</v>
      </c>
      <c r="O306" s="16">
        <f t="shared" si="846"/>
        <v>20</v>
      </c>
      <c r="P306" s="16">
        <f t="shared" si="847"/>
        <v>20</v>
      </c>
      <c r="Q306" s="16">
        <f t="shared" si="848"/>
        <v>-10</v>
      </c>
      <c r="R306" s="14"/>
      <c r="S306" s="15">
        <f t="shared" si="855"/>
        <v>0</v>
      </c>
      <c r="T306" s="14"/>
      <c r="U306" s="15">
        <f t="shared" si="856"/>
        <v>0</v>
      </c>
      <c r="V306" s="16">
        <f t="shared" si="857"/>
        <v>0</v>
      </c>
      <c r="W306" s="17">
        <f t="shared" si="858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27</v>
      </c>
      <c r="D307" s="21" t="str">
        <f>Spieltag!B294</f>
        <v>Rocco Reitz</v>
      </c>
      <c r="E307" s="12" t="str">
        <f>Spieltag!C294</f>
        <v>Mittelfeld</v>
      </c>
      <c r="F307" s="13" t="s">
        <v>76</v>
      </c>
      <c r="G307" s="14"/>
      <c r="H307" s="15">
        <f t="shared" si="851"/>
        <v>0</v>
      </c>
      <c r="I307" s="14"/>
      <c r="J307" s="15">
        <f t="shared" si="852"/>
        <v>0</v>
      </c>
      <c r="K307" s="14"/>
      <c r="L307" s="15">
        <f t="shared" si="853"/>
        <v>0</v>
      </c>
      <c r="M307" s="14"/>
      <c r="N307" s="15">
        <f t="shared" si="854"/>
        <v>0</v>
      </c>
      <c r="O307" s="16">
        <f t="shared" si="846"/>
        <v>20</v>
      </c>
      <c r="P307" s="16">
        <f t="shared" si="847"/>
        <v>20</v>
      </c>
      <c r="Q307" s="16">
        <f t="shared" si="848"/>
        <v>-10</v>
      </c>
      <c r="R307" s="14"/>
      <c r="S307" s="15">
        <f t="shared" si="855"/>
        <v>0</v>
      </c>
      <c r="T307" s="14"/>
      <c r="U307" s="15">
        <f t="shared" si="856"/>
        <v>0</v>
      </c>
      <c r="V307" s="16">
        <f t="shared" si="857"/>
        <v>0</v>
      </c>
      <c r="W307" s="17">
        <f t="shared" si="85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7</v>
      </c>
      <c r="D308" s="21" t="str">
        <f>Spieltag!B295</f>
        <v>Patrick Herrmann</v>
      </c>
      <c r="E308" s="12" t="str">
        <f>Spieltag!C295</f>
        <v>Sturm</v>
      </c>
      <c r="F308" s="13" t="s">
        <v>76</v>
      </c>
      <c r="G308" s="14"/>
      <c r="H308" s="15">
        <f>IF(G308="x",10,0)</f>
        <v>0</v>
      </c>
      <c r="I308" s="14"/>
      <c r="J308" s="15">
        <f>IF((I308="x"),-10,0)</f>
        <v>0</v>
      </c>
      <c r="K308" s="14"/>
      <c r="L308" s="15">
        <f>IF((K308="x"),-20,0)</f>
        <v>0</v>
      </c>
      <c r="M308" s="14"/>
      <c r="N308" s="15">
        <f>IF((M308="x"),-30,0)</f>
        <v>0</v>
      </c>
      <c r="O308" s="16">
        <f t="shared" si="846"/>
        <v>20</v>
      </c>
      <c r="P308" s="16">
        <f t="shared" si="847"/>
        <v>20</v>
      </c>
      <c r="Q308" s="16">
        <f>IF(($W$11&lt;&gt;0),$W$11*-10,5)</f>
        <v>-10</v>
      </c>
      <c r="R308" s="14"/>
      <c r="S308" s="15">
        <f>R308*10</f>
        <v>0</v>
      </c>
      <c r="T308" s="14"/>
      <c r="U308" s="15">
        <f>T308*-15</f>
        <v>0</v>
      </c>
      <c r="V308" s="16">
        <f>IF(AND(R308=2),10,IF(R308=3,30,IF(R308=4,50,IF(R308=5,70,0))))</f>
        <v>0</v>
      </c>
      <c r="W308" s="17">
        <f>IF(G308="x",H308+J308+L308+N308+O308+P308+Q308+S308+U308+V308,0)</f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13</v>
      </c>
      <c r="D309" s="21" t="str">
        <f>Spieltag!B296</f>
        <v>Jordan Siebatcheu (A)</v>
      </c>
      <c r="E309" s="12" t="str">
        <f>Spieltag!C296</f>
        <v>Sturm</v>
      </c>
      <c r="F309" s="13" t="s">
        <v>76</v>
      </c>
      <c r="G309" s="14"/>
      <c r="H309" s="15">
        <f>IF(G309="x",10,0)</f>
        <v>0</v>
      </c>
      <c r="I309" s="14"/>
      <c r="J309" s="15">
        <f>IF((I309="x"),-10,0)</f>
        <v>0</v>
      </c>
      <c r="K309" s="14"/>
      <c r="L309" s="15">
        <f>IF((K309="x"),-20,0)</f>
        <v>0</v>
      </c>
      <c r="M309" s="14"/>
      <c r="N309" s="15">
        <f>IF((M309="x"),-30,0)</f>
        <v>0</v>
      </c>
      <c r="O309" s="16">
        <f t="shared" si="846"/>
        <v>20</v>
      </c>
      <c r="P309" s="16">
        <f t="shared" si="847"/>
        <v>20</v>
      </c>
      <c r="Q309" s="16">
        <f t="shared" ref="Q309:Q313" si="867">IF(($W$11&lt;&gt;0),$W$11*-10,5)</f>
        <v>-10</v>
      </c>
      <c r="R309" s="14"/>
      <c r="S309" s="15">
        <f>R309*10</f>
        <v>0</v>
      </c>
      <c r="T309" s="14"/>
      <c r="U309" s="15">
        <f>T309*-15</f>
        <v>0</v>
      </c>
      <c r="V309" s="16">
        <f>IF(AND(R309=2),10,IF(R309=3,30,IF(R309=4,50,IF(R309=5,70,0))))</f>
        <v>0</v>
      </c>
      <c r="W309" s="17">
        <f>IF(G309="x",H309+J309+L309+N309+O309+P309+Q309+S309+U309+V309,0)</f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14</v>
      </c>
      <c r="D310" s="21" t="str">
        <f>Spieltag!B297</f>
        <v>Alassane Plea (A)</v>
      </c>
      <c r="E310" s="12" t="str">
        <f>Spieltag!C297</f>
        <v>Sturm</v>
      </c>
      <c r="F310" s="13" t="s">
        <v>76</v>
      </c>
      <c r="G310" s="14"/>
      <c r="H310" s="15">
        <f t="shared" ref="H310:H313" si="868">IF(G310="x",10,0)</f>
        <v>0</v>
      </c>
      <c r="I310" s="14"/>
      <c r="J310" s="15">
        <f t="shared" ref="J310:J313" si="869">IF((I310="x"),-10,0)</f>
        <v>0</v>
      </c>
      <c r="K310" s="14"/>
      <c r="L310" s="15">
        <f t="shared" ref="L310:L313" si="870">IF((K310="x"),-20,0)</f>
        <v>0</v>
      </c>
      <c r="M310" s="14"/>
      <c r="N310" s="15">
        <f t="shared" ref="N310:N313" si="871">IF((M310="x"),-30,0)</f>
        <v>0</v>
      </c>
      <c r="O310" s="16">
        <f t="shared" si="846"/>
        <v>20</v>
      </c>
      <c r="P310" s="16">
        <f t="shared" si="847"/>
        <v>20</v>
      </c>
      <c r="Q310" s="16">
        <f t="shared" si="867"/>
        <v>-10</v>
      </c>
      <c r="R310" s="14"/>
      <c r="S310" s="15">
        <f t="shared" ref="S310:S313" si="872">R310*10</f>
        <v>0</v>
      </c>
      <c r="T310" s="14"/>
      <c r="U310" s="15">
        <f t="shared" ref="U310:U313" si="873">T310*-15</f>
        <v>0</v>
      </c>
      <c r="V310" s="16">
        <f t="shared" ref="V310:V313" si="874">IF(AND(R310=2),10,IF(R310=3,30,IF(R310=4,50,IF(R310=5,70,0))))</f>
        <v>0</v>
      </c>
      <c r="W310" s="17">
        <f t="shared" ref="W310:W313" si="875">IF(G310="x",H310+J310+L310+N310+O310+P310+Q310+S310+U310+V310,0)</f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28</v>
      </c>
      <c r="D311" s="21" t="str">
        <f>Spieltag!B298</f>
        <v>Grant-Leon Ranos</v>
      </c>
      <c r="E311" s="12" t="str">
        <f>Spieltag!C298</f>
        <v>Sturm</v>
      </c>
      <c r="F311" s="13" t="s">
        <v>76</v>
      </c>
      <c r="G311" s="14"/>
      <c r="H311" s="15">
        <f t="shared" si="868"/>
        <v>0</v>
      </c>
      <c r="I311" s="14"/>
      <c r="J311" s="15">
        <f t="shared" si="869"/>
        <v>0</v>
      </c>
      <c r="K311" s="14"/>
      <c r="L311" s="15">
        <f t="shared" si="870"/>
        <v>0</v>
      </c>
      <c r="M311" s="14"/>
      <c r="N311" s="15">
        <f t="shared" si="871"/>
        <v>0</v>
      </c>
      <c r="O311" s="16">
        <f t="shared" si="846"/>
        <v>20</v>
      </c>
      <c r="P311" s="16">
        <f t="shared" si="847"/>
        <v>20</v>
      </c>
      <c r="Q311" s="16">
        <f t="shared" si="867"/>
        <v>-10</v>
      </c>
      <c r="R311" s="14"/>
      <c r="S311" s="15">
        <f t="shared" si="872"/>
        <v>0</v>
      </c>
      <c r="T311" s="14"/>
      <c r="U311" s="15">
        <f t="shared" si="873"/>
        <v>0</v>
      </c>
      <c r="V311" s="16">
        <f t="shared" si="874"/>
        <v>0</v>
      </c>
      <c r="W311" s="17">
        <f t="shared" si="875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31</v>
      </c>
      <c r="D312" s="21" t="str">
        <f>Spieltag!B299</f>
        <v>Tomáš Čvančara (A)</v>
      </c>
      <c r="E312" s="12" t="str">
        <f>Spieltag!C299</f>
        <v>Sturm</v>
      </c>
      <c r="F312" s="13" t="s">
        <v>76</v>
      </c>
      <c r="G312" s="14"/>
      <c r="H312" s="15">
        <f t="shared" si="868"/>
        <v>0</v>
      </c>
      <c r="I312" s="14"/>
      <c r="J312" s="15">
        <f t="shared" si="869"/>
        <v>0</v>
      </c>
      <c r="K312" s="14"/>
      <c r="L312" s="15">
        <f t="shared" si="870"/>
        <v>0</v>
      </c>
      <c r="M312" s="14"/>
      <c r="N312" s="15">
        <f t="shared" si="871"/>
        <v>0</v>
      </c>
      <c r="O312" s="16">
        <f t="shared" si="846"/>
        <v>20</v>
      </c>
      <c r="P312" s="16">
        <f t="shared" si="847"/>
        <v>20</v>
      </c>
      <c r="Q312" s="16">
        <f t="shared" si="867"/>
        <v>-10</v>
      </c>
      <c r="R312" s="14"/>
      <c r="S312" s="15">
        <f t="shared" si="872"/>
        <v>0</v>
      </c>
      <c r="T312" s="14"/>
      <c r="U312" s="15">
        <f t="shared" si="873"/>
        <v>0</v>
      </c>
      <c r="V312" s="16">
        <f t="shared" si="874"/>
        <v>0</v>
      </c>
      <c r="W312" s="17">
        <f t="shared" si="875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38</v>
      </c>
      <c r="D313" s="21" t="str">
        <f>Spieltag!B300</f>
        <v>Yvandro Borges Sanches (A)</v>
      </c>
      <c r="E313" s="12" t="str">
        <f>Spieltag!C300</f>
        <v>Sturm</v>
      </c>
      <c r="F313" s="13" t="s">
        <v>76</v>
      </c>
      <c r="G313" s="14"/>
      <c r="H313" s="15">
        <f t="shared" si="868"/>
        <v>0</v>
      </c>
      <c r="I313" s="14"/>
      <c r="J313" s="15">
        <f t="shared" si="869"/>
        <v>0</v>
      </c>
      <c r="K313" s="14"/>
      <c r="L313" s="15">
        <f t="shared" si="870"/>
        <v>0</v>
      </c>
      <c r="M313" s="14"/>
      <c r="N313" s="15">
        <f t="shared" si="871"/>
        <v>0</v>
      </c>
      <c r="O313" s="16">
        <f t="shared" si="846"/>
        <v>20</v>
      </c>
      <c r="P313" s="16">
        <f t="shared" si="847"/>
        <v>20</v>
      </c>
      <c r="Q313" s="16">
        <f t="shared" si="867"/>
        <v>-10</v>
      </c>
      <c r="R313" s="14"/>
      <c r="S313" s="15">
        <f t="shared" si="872"/>
        <v>0</v>
      </c>
      <c r="T313" s="14"/>
      <c r="U313" s="15">
        <f t="shared" si="873"/>
        <v>0</v>
      </c>
      <c r="V313" s="16">
        <f t="shared" si="874"/>
        <v>0</v>
      </c>
      <c r="W313" s="17">
        <f t="shared" si="875"/>
        <v>0</v>
      </c>
    </row>
    <row r="314" spans="1:23" s="144" customFormat="1" ht="17.25" thickBot="1" x14ac:dyDescent="0.25">
      <c r="A314" s="142"/>
      <c r="B314" s="143">
        <f>SUM(B315:B345)</f>
        <v>2</v>
      </c>
      <c r="C314" s="158"/>
      <c r="D314" s="234" t="s">
        <v>183</v>
      </c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5"/>
    </row>
    <row r="315" spans="1:23" ht="10.5" hidden="1" customHeight="1" x14ac:dyDescent="0.2">
      <c r="A315" s="11"/>
      <c r="B315" s="150">
        <f>COUNTA(Spieltag!K302:AA302)</f>
        <v>0</v>
      </c>
      <c r="C315" s="166">
        <f>Spieltag!A302</f>
        <v>1</v>
      </c>
      <c r="D315" s="21" t="str">
        <f>Spieltag!B302</f>
        <v>Marvin Schwäbe</v>
      </c>
      <c r="E315" s="151" t="str">
        <f>Spieltag!C302</f>
        <v>Torwart</v>
      </c>
      <c r="F315" s="152" t="s">
        <v>178</v>
      </c>
      <c r="G315" s="153"/>
      <c r="H315" s="154">
        <f>IF(G315="x",10,0)</f>
        <v>0</v>
      </c>
      <c r="I315" s="153"/>
      <c r="J315" s="154">
        <f>IF((I315="x"),-10,0)</f>
        <v>0</v>
      </c>
      <c r="K315" s="153"/>
      <c r="L315" s="154">
        <f>IF((K315="x"),-20,0)</f>
        <v>0</v>
      </c>
      <c r="M315" s="153"/>
      <c r="N315" s="154">
        <f>IF((M315="x"),-30,0)</f>
        <v>0</v>
      </c>
      <c r="O315" s="155">
        <f t="shared" ref="O315:O328" si="876">IF(AND($V$5&gt;$W$5),20,IF($V$5=$W$5,10,0))</f>
        <v>20</v>
      </c>
      <c r="P315" s="155">
        <f t="shared" ref="P315:P328" si="877">IF(($V$5&lt;&gt;0),$V$5*10,-5)</f>
        <v>10</v>
      </c>
      <c r="Q315" s="155">
        <f>IF(($W$5&lt;&gt;0),$W$5*-10,20)</f>
        <v>20</v>
      </c>
      <c r="R315" s="153"/>
      <c r="S315" s="154">
        <f>R315*20</f>
        <v>0</v>
      </c>
      <c r="T315" s="153"/>
      <c r="U315" s="154">
        <f>T315*-15</f>
        <v>0</v>
      </c>
      <c r="V315" s="155">
        <f>IF(AND(R315=2),10,IF(R315=3,30,IF(R315=4,50,IF(R315=5,70,0))))</f>
        <v>0</v>
      </c>
      <c r="W315" s="156">
        <f>IF(G315="x",H315+J315+L315+N315+O315+P315+Q315+S315+U315+V315,0)</f>
        <v>0</v>
      </c>
    </row>
    <row r="316" spans="1:23" ht="10.5" hidden="1" customHeight="1" x14ac:dyDescent="0.2">
      <c r="A316" s="11"/>
      <c r="B316" s="150">
        <f>COUNTA(Spieltag!K303:AA303)</f>
        <v>0</v>
      </c>
      <c r="C316" s="166">
        <f>Spieltag!A303</f>
        <v>12</v>
      </c>
      <c r="D316" s="21" t="str">
        <f>Spieltag!B303</f>
        <v>Jonas Nickisch</v>
      </c>
      <c r="E316" s="151" t="str">
        <f>Spieltag!C303</f>
        <v>Torwart</v>
      </c>
      <c r="F316" s="152" t="s">
        <v>178</v>
      </c>
      <c r="G316" s="153"/>
      <c r="H316" s="154">
        <f t="shared" ref="H316" si="878">IF(G316="x",10,0)</f>
        <v>0</v>
      </c>
      <c r="I316" s="153"/>
      <c r="J316" s="154">
        <f t="shared" ref="J316" si="879">IF((I316="x"),-10,0)</f>
        <v>0</v>
      </c>
      <c r="K316" s="153"/>
      <c r="L316" s="154">
        <f t="shared" ref="L316" si="880">IF((K316="x"),-20,0)</f>
        <v>0</v>
      </c>
      <c r="M316" s="153"/>
      <c r="N316" s="154">
        <f t="shared" ref="N316" si="881">IF((M316="x"),-30,0)</f>
        <v>0</v>
      </c>
      <c r="O316" s="155">
        <f t="shared" si="876"/>
        <v>20</v>
      </c>
      <c r="P316" s="155">
        <f t="shared" si="877"/>
        <v>10</v>
      </c>
      <c r="Q316" s="155">
        <f t="shared" ref="Q316:Q318" si="882">IF(($W$5&lt;&gt;0),$W$5*-10,20)</f>
        <v>20</v>
      </c>
      <c r="R316" s="153"/>
      <c r="S316" s="154">
        <f t="shared" ref="S316" si="883">R316*20</f>
        <v>0</v>
      </c>
      <c r="T316" s="153"/>
      <c r="U316" s="154">
        <f t="shared" ref="U316" si="884">T316*-15</f>
        <v>0</v>
      </c>
      <c r="V316" s="155">
        <f t="shared" ref="V316" si="885">IF(AND(R316=2),10,IF(R316=3,30,IF(R316=4,50,IF(R316=5,70,0))))</f>
        <v>0</v>
      </c>
      <c r="W316" s="156">
        <f t="shared" ref="W316" si="886">IF(G316="x",H316+J316+L316+N316+O316+P316+Q316+S316+U316+V316,0)</f>
        <v>0</v>
      </c>
    </row>
    <row r="317" spans="1:23" ht="10.5" hidden="1" customHeight="1" x14ac:dyDescent="0.2">
      <c r="A317" s="11"/>
      <c r="B317" s="150">
        <f>COUNTA(Spieltag!K304:AA304)</f>
        <v>0</v>
      </c>
      <c r="C317" s="166">
        <f>Spieltag!A304</f>
        <v>20</v>
      </c>
      <c r="D317" s="21" t="str">
        <f>Spieltag!B304</f>
        <v>Philipp Pentke</v>
      </c>
      <c r="E317" s="151" t="str">
        <f>Spieltag!C304</f>
        <v>Torwart</v>
      </c>
      <c r="F317" s="152" t="s">
        <v>178</v>
      </c>
      <c r="G317" s="153"/>
      <c r="H317" s="154">
        <f t="shared" ref="H317:H318" si="887">IF(G317="x",10,0)</f>
        <v>0</v>
      </c>
      <c r="I317" s="153"/>
      <c r="J317" s="154">
        <f t="shared" ref="J317:J318" si="888">IF((I317="x"),-10,0)</f>
        <v>0</v>
      </c>
      <c r="K317" s="153"/>
      <c r="L317" s="154">
        <f t="shared" ref="L317:L318" si="889">IF((K317="x"),-20,0)</f>
        <v>0</v>
      </c>
      <c r="M317" s="153"/>
      <c r="N317" s="154">
        <f t="shared" ref="N317:N318" si="890">IF((M317="x"),-30,0)</f>
        <v>0</v>
      </c>
      <c r="O317" s="155">
        <f t="shared" si="876"/>
        <v>20</v>
      </c>
      <c r="P317" s="155">
        <f t="shared" si="877"/>
        <v>10</v>
      </c>
      <c r="Q317" s="155">
        <f t="shared" si="882"/>
        <v>20</v>
      </c>
      <c r="R317" s="153"/>
      <c r="S317" s="154">
        <f t="shared" ref="S317:S318" si="891">R317*20</f>
        <v>0</v>
      </c>
      <c r="T317" s="153"/>
      <c r="U317" s="154">
        <f t="shared" ref="U317:U318" si="892">T317*-15</f>
        <v>0</v>
      </c>
      <c r="V317" s="155">
        <f t="shared" ref="V317:V318" si="893">IF(AND(R317=2),10,IF(R317=3,30,IF(R317=4,50,IF(R317=5,70,0))))</f>
        <v>0</v>
      </c>
      <c r="W317" s="156">
        <f t="shared" ref="W317:W318" si="894">IF(G317="x",H317+J317+L317+N317+O317+P317+Q317+S317+U317+V317,0)</f>
        <v>0</v>
      </c>
    </row>
    <row r="318" spans="1:23" ht="10.5" hidden="1" customHeight="1" x14ac:dyDescent="0.2">
      <c r="A318" s="11"/>
      <c r="B318" s="150">
        <f>COUNTA(Spieltag!K305:AA305)</f>
        <v>0</v>
      </c>
      <c r="C318" s="166">
        <f>Spieltag!A305</f>
        <v>44</v>
      </c>
      <c r="D318" s="21" t="str">
        <f>Spieltag!B305</f>
        <v>Matthias Köbbing</v>
      </c>
      <c r="E318" s="151" t="str">
        <f>Spieltag!C305</f>
        <v>Torwart</v>
      </c>
      <c r="F318" s="152" t="s">
        <v>178</v>
      </c>
      <c r="G318" s="153"/>
      <c r="H318" s="154">
        <f t="shared" si="887"/>
        <v>0</v>
      </c>
      <c r="I318" s="153"/>
      <c r="J318" s="154">
        <f t="shared" si="888"/>
        <v>0</v>
      </c>
      <c r="K318" s="153"/>
      <c r="L318" s="154">
        <f t="shared" si="889"/>
        <v>0</v>
      </c>
      <c r="M318" s="153"/>
      <c r="N318" s="154">
        <f t="shared" si="890"/>
        <v>0</v>
      </c>
      <c r="O318" s="155">
        <f t="shared" si="876"/>
        <v>20</v>
      </c>
      <c r="P318" s="155">
        <f t="shared" si="877"/>
        <v>10</v>
      </c>
      <c r="Q318" s="155">
        <f t="shared" si="882"/>
        <v>20</v>
      </c>
      <c r="R318" s="153"/>
      <c r="S318" s="154">
        <f t="shared" si="891"/>
        <v>0</v>
      </c>
      <c r="T318" s="153"/>
      <c r="U318" s="154">
        <f t="shared" si="892"/>
        <v>0</v>
      </c>
      <c r="V318" s="155">
        <f t="shared" si="893"/>
        <v>0</v>
      </c>
      <c r="W318" s="156">
        <f t="shared" si="894"/>
        <v>0</v>
      </c>
    </row>
    <row r="319" spans="1:23" ht="10.5" hidden="1" customHeight="1" x14ac:dyDescent="0.2">
      <c r="A319" s="11"/>
      <c r="B319" s="150">
        <f>COUNTA(Spieltag!K306:AA306)</f>
        <v>0</v>
      </c>
      <c r="C319" s="166">
        <f>Spieltag!A306</f>
        <v>2</v>
      </c>
      <c r="D319" s="21" t="str">
        <f>Spieltag!B306</f>
        <v>Benno Schmitz</v>
      </c>
      <c r="E319" s="151" t="str">
        <f>Spieltag!C306</f>
        <v>Abwehr</v>
      </c>
      <c r="F319" s="152" t="s">
        <v>178</v>
      </c>
      <c r="G319" s="153"/>
      <c r="H319" s="154">
        <f>IF(G319="x",10,0)</f>
        <v>0</v>
      </c>
      <c r="I319" s="153"/>
      <c r="J319" s="154">
        <f>IF((I319="x"),-10,0)</f>
        <v>0</v>
      </c>
      <c r="K319" s="153"/>
      <c r="L319" s="154">
        <f>IF((K319="x"),-20,0)</f>
        <v>0</v>
      </c>
      <c r="M319" s="153"/>
      <c r="N319" s="154">
        <f>IF((M319="x"),-30,0)</f>
        <v>0</v>
      </c>
      <c r="O319" s="155">
        <f t="shared" si="876"/>
        <v>20</v>
      </c>
      <c r="P319" s="155">
        <f t="shared" si="877"/>
        <v>10</v>
      </c>
      <c r="Q319" s="155">
        <f t="shared" ref="Q319:Q328" si="895">IF(($W$5&lt;&gt;0),$W$5*-10,15)</f>
        <v>15</v>
      </c>
      <c r="R319" s="153"/>
      <c r="S319" s="154">
        <f>R319*15</f>
        <v>0</v>
      </c>
      <c r="T319" s="153"/>
      <c r="U319" s="154">
        <f>T319*-15</f>
        <v>0</v>
      </c>
      <c r="V319" s="155">
        <f>IF(AND(R319=2),10,IF(R319=3,30,IF(R319=4,50,IF(R319=5,70,0))))</f>
        <v>0</v>
      </c>
      <c r="W319" s="156">
        <f>IF(G319="x",H319+J319+L319+N319+O319+P319+Q319+S319+U319+V319,0)</f>
        <v>0</v>
      </c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3</v>
      </c>
      <c r="D320" s="21" t="str">
        <f>Spieltag!B307</f>
        <v>Dominique Heintz</v>
      </c>
      <c r="E320" s="151" t="str">
        <f>Spieltag!C307</f>
        <v>Abwehr</v>
      </c>
      <c r="F320" s="152" t="s">
        <v>178</v>
      </c>
      <c r="G320" s="153"/>
      <c r="H320" s="154">
        <f t="shared" ref="H320:H326" si="896">IF(G320="x",10,0)</f>
        <v>0</v>
      </c>
      <c r="I320" s="153"/>
      <c r="J320" s="154">
        <f t="shared" ref="J320:J326" si="897">IF((I320="x"),-10,0)</f>
        <v>0</v>
      </c>
      <c r="K320" s="153"/>
      <c r="L320" s="154">
        <f t="shared" ref="L320:L326" si="898">IF((K320="x"),-20,0)</f>
        <v>0</v>
      </c>
      <c r="M320" s="153"/>
      <c r="N320" s="154">
        <f t="shared" ref="N320:N326" si="899">IF((M320="x"),-30,0)</f>
        <v>0</v>
      </c>
      <c r="O320" s="155">
        <f t="shared" si="876"/>
        <v>20</v>
      </c>
      <c r="P320" s="155">
        <f t="shared" si="877"/>
        <v>10</v>
      </c>
      <c r="Q320" s="155">
        <f t="shared" si="895"/>
        <v>15</v>
      </c>
      <c r="R320" s="153"/>
      <c r="S320" s="154">
        <f t="shared" ref="S320:S326" si="900">R320*15</f>
        <v>0</v>
      </c>
      <c r="T320" s="153"/>
      <c r="U320" s="154">
        <f t="shared" ref="U320:U326" si="901">T320*-15</f>
        <v>0</v>
      </c>
      <c r="V320" s="155">
        <f t="shared" ref="V320:V326" si="902">IF(AND(R320=2),10,IF(R320=3,30,IF(R320=4,50,IF(R320=5,70,0))))</f>
        <v>0</v>
      </c>
      <c r="W320" s="156">
        <f t="shared" ref="W320:W326" si="903"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4</v>
      </c>
      <c r="D321" s="21" t="str">
        <f>Spieltag!B308</f>
        <v>Timo Hübers</v>
      </c>
      <c r="E321" s="151" t="str">
        <f>Spieltag!C308</f>
        <v>Abwehr</v>
      </c>
      <c r="F321" s="152" t="s">
        <v>178</v>
      </c>
      <c r="G321" s="153"/>
      <c r="H321" s="154">
        <f t="shared" si="896"/>
        <v>0</v>
      </c>
      <c r="I321" s="153"/>
      <c r="J321" s="154">
        <f t="shared" si="897"/>
        <v>0</v>
      </c>
      <c r="K321" s="153"/>
      <c r="L321" s="154">
        <f t="shared" si="898"/>
        <v>0</v>
      </c>
      <c r="M321" s="153"/>
      <c r="N321" s="154">
        <f t="shared" si="899"/>
        <v>0</v>
      </c>
      <c r="O321" s="155">
        <f t="shared" si="876"/>
        <v>20</v>
      </c>
      <c r="P321" s="155">
        <f t="shared" si="877"/>
        <v>10</v>
      </c>
      <c r="Q321" s="155">
        <f t="shared" si="895"/>
        <v>15</v>
      </c>
      <c r="R321" s="153"/>
      <c r="S321" s="154">
        <f t="shared" si="900"/>
        <v>0</v>
      </c>
      <c r="T321" s="153"/>
      <c r="U321" s="154">
        <f t="shared" si="901"/>
        <v>0</v>
      </c>
      <c r="V321" s="155">
        <f t="shared" si="902"/>
        <v>0</v>
      </c>
      <c r="W321" s="156">
        <f t="shared" si="903"/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15</v>
      </c>
      <c r="D322" s="21" t="str">
        <f>Spieltag!B309</f>
        <v>Luca Kilian</v>
      </c>
      <c r="E322" s="151" t="str">
        <f>Spieltag!C309</f>
        <v>Abwehr</v>
      </c>
      <c r="F322" s="152" t="s">
        <v>178</v>
      </c>
      <c r="G322" s="153"/>
      <c r="H322" s="154">
        <f t="shared" si="896"/>
        <v>0</v>
      </c>
      <c r="I322" s="153"/>
      <c r="J322" s="154">
        <f t="shared" si="897"/>
        <v>0</v>
      </c>
      <c r="K322" s="153"/>
      <c r="L322" s="154">
        <f t="shared" si="898"/>
        <v>0</v>
      </c>
      <c r="M322" s="153"/>
      <c r="N322" s="154">
        <f t="shared" si="899"/>
        <v>0</v>
      </c>
      <c r="O322" s="155">
        <f t="shared" si="876"/>
        <v>20</v>
      </c>
      <c r="P322" s="155">
        <f t="shared" si="877"/>
        <v>10</v>
      </c>
      <c r="Q322" s="155">
        <f t="shared" si="895"/>
        <v>15</v>
      </c>
      <c r="R322" s="153"/>
      <c r="S322" s="154">
        <f t="shared" si="900"/>
        <v>0</v>
      </c>
      <c r="T322" s="153"/>
      <c r="U322" s="154">
        <f t="shared" si="901"/>
        <v>0</v>
      </c>
      <c r="V322" s="155">
        <f t="shared" si="902"/>
        <v>0</v>
      </c>
      <c r="W322" s="156">
        <f t="shared" si="903"/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17</v>
      </c>
      <c r="D323" s="21" t="str">
        <f>Spieltag!B310</f>
        <v>Leart Paqarada</v>
      </c>
      <c r="E323" s="151" t="str">
        <f>Spieltag!C310</f>
        <v>Abwehr</v>
      </c>
      <c r="F323" s="152" t="s">
        <v>178</v>
      </c>
      <c r="G323" s="153"/>
      <c r="H323" s="154">
        <f t="shared" si="896"/>
        <v>0</v>
      </c>
      <c r="I323" s="153"/>
      <c r="J323" s="154">
        <f t="shared" si="897"/>
        <v>0</v>
      </c>
      <c r="K323" s="153"/>
      <c r="L323" s="154">
        <f t="shared" si="898"/>
        <v>0</v>
      </c>
      <c r="M323" s="153"/>
      <c r="N323" s="154">
        <f t="shared" si="899"/>
        <v>0</v>
      </c>
      <c r="O323" s="155">
        <f t="shared" si="876"/>
        <v>20</v>
      </c>
      <c r="P323" s="155">
        <f t="shared" si="877"/>
        <v>10</v>
      </c>
      <c r="Q323" s="155">
        <f t="shared" si="895"/>
        <v>15</v>
      </c>
      <c r="R323" s="153"/>
      <c r="S323" s="154">
        <f t="shared" si="900"/>
        <v>0</v>
      </c>
      <c r="T323" s="153"/>
      <c r="U323" s="154">
        <f t="shared" si="901"/>
        <v>0</v>
      </c>
      <c r="V323" s="155">
        <f t="shared" si="902"/>
        <v>0</v>
      </c>
      <c r="W323" s="156">
        <f t="shared" si="903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18</v>
      </c>
      <c r="D324" s="21" t="str">
        <f>Spieltag!B311</f>
        <v>Rasmus Carstensen (A)</v>
      </c>
      <c r="E324" s="151" t="str">
        <f>Spieltag!C311</f>
        <v>Abwehr</v>
      </c>
      <c r="F324" s="152" t="s">
        <v>178</v>
      </c>
      <c r="G324" s="153"/>
      <c r="H324" s="154">
        <f t="shared" si="896"/>
        <v>0</v>
      </c>
      <c r="I324" s="153"/>
      <c r="J324" s="154">
        <f t="shared" si="897"/>
        <v>0</v>
      </c>
      <c r="K324" s="153"/>
      <c r="L324" s="154">
        <f t="shared" si="898"/>
        <v>0</v>
      </c>
      <c r="M324" s="153"/>
      <c r="N324" s="154">
        <f t="shared" si="899"/>
        <v>0</v>
      </c>
      <c r="O324" s="155">
        <f t="shared" si="876"/>
        <v>20</v>
      </c>
      <c r="P324" s="155">
        <f t="shared" si="877"/>
        <v>10</v>
      </c>
      <c r="Q324" s="155">
        <f t="shared" si="895"/>
        <v>15</v>
      </c>
      <c r="R324" s="153"/>
      <c r="S324" s="154">
        <f t="shared" si="900"/>
        <v>0</v>
      </c>
      <c r="T324" s="153"/>
      <c r="U324" s="154">
        <f t="shared" si="901"/>
        <v>0</v>
      </c>
      <c r="V324" s="155">
        <f t="shared" si="902"/>
        <v>0</v>
      </c>
      <c r="W324" s="156">
        <f t="shared" si="903"/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24</v>
      </c>
      <c r="D325" s="21" t="str">
        <f>Spieltag!B312</f>
        <v>Jeff Chabot</v>
      </c>
      <c r="E325" s="151" t="str">
        <f>Spieltag!C312</f>
        <v>Abwehr</v>
      </c>
      <c r="F325" s="152" t="s">
        <v>178</v>
      </c>
      <c r="G325" s="153"/>
      <c r="H325" s="154">
        <f t="shared" si="896"/>
        <v>0</v>
      </c>
      <c r="I325" s="153"/>
      <c r="J325" s="154">
        <f t="shared" si="897"/>
        <v>0</v>
      </c>
      <c r="K325" s="153"/>
      <c r="L325" s="154">
        <f t="shared" si="898"/>
        <v>0</v>
      </c>
      <c r="M325" s="153"/>
      <c r="N325" s="154">
        <f t="shared" si="899"/>
        <v>0</v>
      </c>
      <c r="O325" s="155">
        <f t="shared" si="876"/>
        <v>20</v>
      </c>
      <c r="P325" s="155">
        <f t="shared" si="877"/>
        <v>10</v>
      </c>
      <c r="Q325" s="155">
        <f t="shared" si="895"/>
        <v>15</v>
      </c>
      <c r="R325" s="153"/>
      <c r="S325" s="154">
        <f t="shared" si="900"/>
        <v>0</v>
      </c>
      <c r="T325" s="153"/>
      <c r="U325" s="154">
        <f t="shared" si="901"/>
        <v>0</v>
      </c>
      <c r="V325" s="155">
        <f t="shared" si="902"/>
        <v>0</v>
      </c>
      <c r="W325" s="156">
        <f t="shared" si="903"/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30</v>
      </c>
      <c r="D326" s="21" t="str">
        <f>Spieltag!B313</f>
        <v>Noah Katterbach</v>
      </c>
      <c r="E326" s="151" t="str">
        <f>Spieltag!C313</f>
        <v>Abwehr</v>
      </c>
      <c r="F326" s="152" t="s">
        <v>178</v>
      </c>
      <c r="G326" s="153"/>
      <c r="H326" s="154">
        <f t="shared" si="896"/>
        <v>0</v>
      </c>
      <c r="I326" s="153"/>
      <c r="J326" s="154">
        <f t="shared" si="897"/>
        <v>0</v>
      </c>
      <c r="K326" s="153"/>
      <c r="L326" s="154">
        <f t="shared" si="898"/>
        <v>0</v>
      </c>
      <c r="M326" s="153"/>
      <c r="N326" s="154">
        <f t="shared" si="899"/>
        <v>0</v>
      </c>
      <c r="O326" s="155">
        <f t="shared" si="876"/>
        <v>20</v>
      </c>
      <c r="P326" s="155">
        <f t="shared" si="877"/>
        <v>10</v>
      </c>
      <c r="Q326" s="155">
        <f t="shared" si="895"/>
        <v>15</v>
      </c>
      <c r="R326" s="153"/>
      <c r="S326" s="154">
        <f t="shared" si="900"/>
        <v>0</v>
      </c>
      <c r="T326" s="153"/>
      <c r="U326" s="154">
        <f t="shared" si="901"/>
        <v>0</v>
      </c>
      <c r="V326" s="155">
        <f t="shared" si="902"/>
        <v>0</v>
      </c>
      <c r="W326" s="156">
        <f t="shared" si="90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35</v>
      </c>
      <c r="D327" s="21" t="str">
        <f>Spieltag!B314</f>
        <v>Max Finkgräfe</v>
      </c>
      <c r="E327" s="151" t="str">
        <f>Spieltag!C314</f>
        <v>Abwehr</v>
      </c>
      <c r="F327" s="152" t="s">
        <v>178</v>
      </c>
      <c r="G327" s="153"/>
      <c r="H327" s="154">
        <f t="shared" ref="H327:H328" si="904">IF(G327="x",10,0)</f>
        <v>0</v>
      </c>
      <c r="I327" s="153"/>
      <c r="J327" s="154">
        <f t="shared" ref="J327:J328" si="905">IF((I327="x"),-10,0)</f>
        <v>0</v>
      </c>
      <c r="K327" s="153"/>
      <c r="L327" s="154">
        <f t="shared" ref="L327:L328" si="906">IF((K327="x"),-20,0)</f>
        <v>0</v>
      </c>
      <c r="M327" s="153"/>
      <c r="N327" s="154">
        <f t="shared" ref="N327:N328" si="907">IF((M327="x"),-30,0)</f>
        <v>0</v>
      </c>
      <c r="O327" s="155">
        <f t="shared" si="876"/>
        <v>20</v>
      </c>
      <c r="P327" s="155">
        <f t="shared" si="877"/>
        <v>10</v>
      </c>
      <c r="Q327" s="155">
        <f t="shared" si="895"/>
        <v>15</v>
      </c>
      <c r="R327" s="153"/>
      <c r="S327" s="154">
        <f t="shared" ref="S327:S328" si="908">R327*15</f>
        <v>0</v>
      </c>
      <c r="T327" s="153"/>
      <c r="U327" s="154">
        <f t="shared" ref="U327:U328" si="909">T327*-15</f>
        <v>0</v>
      </c>
      <c r="V327" s="155">
        <f t="shared" ref="V327:V328" si="910">IF(AND(R327=2),10,IF(R327=3,30,IF(R327=4,50,IF(R327=5,70,0))))</f>
        <v>0</v>
      </c>
      <c r="W327" s="156">
        <f t="shared" ref="W327:W328" si="911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38</v>
      </c>
      <c r="D328" s="21" t="str">
        <f>Spieltag!B315</f>
        <v>Elias Bakatukanda</v>
      </c>
      <c r="E328" s="151" t="str">
        <f>Spieltag!C315</f>
        <v>Abwehr</v>
      </c>
      <c r="F328" s="152" t="s">
        <v>178</v>
      </c>
      <c r="G328" s="153"/>
      <c r="H328" s="154">
        <f t="shared" si="904"/>
        <v>0</v>
      </c>
      <c r="I328" s="153"/>
      <c r="J328" s="154">
        <f t="shared" si="905"/>
        <v>0</v>
      </c>
      <c r="K328" s="153"/>
      <c r="L328" s="154">
        <f t="shared" si="906"/>
        <v>0</v>
      </c>
      <c r="M328" s="153"/>
      <c r="N328" s="154">
        <f t="shared" si="907"/>
        <v>0</v>
      </c>
      <c r="O328" s="155">
        <f t="shared" si="876"/>
        <v>20</v>
      </c>
      <c r="P328" s="155">
        <f t="shared" si="877"/>
        <v>10</v>
      </c>
      <c r="Q328" s="155">
        <f t="shared" si="895"/>
        <v>15</v>
      </c>
      <c r="R328" s="153"/>
      <c r="S328" s="154">
        <f t="shared" si="908"/>
        <v>0</v>
      </c>
      <c r="T328" s="153"/>
      <c r="U328" s="154">
        <f t="shared" si="909"/>
        <v>0</v>
      </c>
      <c r="V328" s="155">
        <f t="shared" si="910"/>
        <v>0</v>
      </c>
      <c r="W328" s="156">
        <f t="shared" si="911"/>
        <v>0</v>
      </c>
    </row>
    <row r="329" spans="1:23" ht="10.5" customHeight="1" x14ac:dyDescent="0.2">
      <c r="A329" s="11"/>
      <c r="B329" s="150">
        <f>COUNTA(Spieltag!K316:AA316)</f>
        <v>1</v>
      </c>
      <c r="C329" s="166">
        <f>Spieltag!A316</f>
        <v>6</v>
      </c>
      <c r="D329" s="21" t="str">
        <f>Spieltag!B316</f>
        <v>Eric Martel</v>
      </c>
      <c r="E329" s="151" t="str">
        <f>Spieltag!C316</f>
        <v>Mittelfeld</v>
      </c>
      <c r="F329" s="152" t="s">
        <v>178</v>
      </c>
      <c r="G329" s="153" t="s">
        <v>661</v>
      </c>
      <c r="H329" s="154">
        <f>IF(G329="x",10,0)</f>
        <v>10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5" si="912">IF(AND($V$5&gt;$W$5),20,IF($V$5=$W$5,10,0))</f>
        <v>20</v>
      </c>
      <c r="P329" s="155">
        <f t="shared" ref="P329:P345" si="913">IF(($V$5&lt;&gt;0),$V$5*10,-5)</f>
        <v>10</v>
      </c>
      <c r="Q329" s="155">
        <f t="shared" ref="Q329:Q338" si="914">IF(($W$5&lt;&gt;0),$W$5*-10,10)</f>
        <v>10</v>
      </c>
      <c r="R329" s="153"/>
      <c r="S329" s="154">
        <f>R329*10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50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7</v>
      </c>
      <c r="D330" s="21" t="str">
        <f>Spieltag!B317</f>
        <v>Dejan Ljubicic (A)</v>
      </c>
      <c r="E330" s="151" t="str">
        <f>Spieltag!C317</f>
        <v>Mittelfeld</v>
      </c>
      <c r="F330" s="152" t="s">
        <v>178</v>
      </c>
      <c r="G330" s="153"/>
      <c r="H330" s="154">
        <f t="shared" ref="H330:H337" si="915">IF(G330="x",10,0)</f>
        <v>0</v>
      </c>
      <c r="I330" s="153"/>
      <c r="J330" s="154">
        <f t="shared" ref="J330:J337" si="916">IF((I330="x"),-10,0)</f>
        <v>0</v>
      </c>
      <c r="K330" s="153"/>
      <c r="L330" s="154">
        <f t="shared" ref="L330:L337" si="917">IF((K330="x"),-20,0)</f>
        <v>0</v>
      </c>
      <c r="M330" s="153"/>
      <c r="N330" s="154">
        <f t="shared" ref="N330:N337" si="918">IF((M330="x"),-30,0)</f>
        <v>0</v>
      </c>
      <c r="O330" s="155">
        <f t="shared" si="912"/>
        <v>20</v>
      </c>
      <c r="P330" s="155">
        <f t="shared" si="913"/>
        <v>10</v>
      </c>
      <c r="Q330" s="155">
        <f t="shared" si="914"/>
        <v>10</v>
      </c>
      <c r="R330" s="153"/>
      <c r="S330" s="154">
        <f t="shared" ref="S330:S337" si="919">R330*10</f>
        <v>0</v>
      </c>
      <c r="T330" s="153"/>
      <c r="U330" s="154">
        <f t="shared" ref="U330:U337" si="920">T330*-15</f>
        <v>0</v>
      </c>
      <c r="V330" s="155">
        <f t="shared" ref="V330:V337" si="921">IF(AND(R330=2),10,IF(R330=3,30,IF(R330=4,50,IF(R330=5,70,0))))</f>
        <v>0</v>
      </c>
      <c r="W330" s="156">
        <f t="shared" ref="W330:W337" si="922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8</v>
      </c>
      <c r="D331" s="21" t="str">
        <f>Spieltag!B318</f>
        <v>Denis Huseinbašić</v>
      </c>
      <c r="E331" s="151" t="str">
        <f>Spieltag!C318</f>
        <v>Mittelfeld</v>
      </c>
      <c r="F331" s="152" t="s">
        <v>178</v>
      </c>
      <c r="G331" s="153"/>
      <c r="H331" s="154">
        <f t="shared" si="915"/>
        <v>0</v>
      </c>
      <c r="I331" s="153"/>
      <c r="J331" s="154">
        <f t="shared" si="916"/>
        <v>0</v>
      </c>
      <c r="K331" s="153"/>
      <c r="L331" s="154">
        <f t="shared" si="917"/>
        <v>0</v>
      </c>
      <c r="M331" s="153"/>
      <c r="N331" s="154">
        <f t="shared" si="918"/>
        <v>0</v>
      </c>
      <c r="O331" s="155">
        <f t="shared" si="912"/>
        <v>20</v>
      </c>
      <c r="P331" s="155">
        <f t="shared" si="913"/>
        <v>10</v>
      </c>
      <c r="Q331" s="155">
        <f t="shared" si="914"/>
        <v>10</v>
      </c>
      <c r="R331" s="153"/>
      <c r="S331" s="154">
        <f t="shared" si="919"/>
        <v>0</v>
      </c>
      <c r="T331" s="153"/>
      <c r="U331" s="154">
        <f t="shared" si="920"/>
        <v>0</v>
      </c>
      <c r="V331" s="155">
        <f t="shared" si="921"/>
        <v>0</v>
      </c>
      <c r="W331" s="156">
        <f t="shared" si="922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11</v>
      </c>
      <c r="D332" s="21" t="str">
        <f>Spieltag!B319</f>
        <v>Florian Kainz (A)</v>
      </c>
      <c r="E332" s="151" t="str">
        <f>Spieltag!C319</f>
        <v>Mittelfeld</v>
      </c>
      <c r="F332" s="152" t="s">
        <v>178</v>
      </c>
      <c r="G332" s="153"/>
      <c r="H332" s="154">
        <f t="shared" si="915"/>
        <v>0</v>
      </c>
      <c r="I332" s="153"/>
      <c r="J332" s="154">
        <f t="shared" si="916"/>
        <v>0</v>
      </c>
      <c r="K332" s="153"/>
      <c r="L332" s="154">
        <f t="shared" si="917"/>
        <v>0</v>
      </c>
      <c r="M332" s="153"/>
      <c r="N332" s="154">
        <f t="shared" si="918"/>
        <v>0</v>
      </c>
      <c r="O332" s="155">
        <f t="shared" si="912"/>
        <v>20</v>
      </c>
      <c r="P332" s="155">
        <f t="shared" si="913"/>
        <v>10</v>
      </c>
      <c r="Q332" s="155">
        <f t="shared" si="914"/>
        <v>10</v>
      </c>
      <c r="R332" s="153"/>
      <c r="S332" s="154">
        <f t="shared" si="919"/>
        <v>0</v>
      </c>
      <c r="T332" s="153"/>
      <c r="U332" s="154">
        <f t="shared" si="920"/>
        <v>0</v>
      </c>
      <c r="V332" s="155">
        <f t="shared" si="921"/>
        <v>0</v>
      </c>
      <c r="W332" s="156">
        <f t="shared" si="922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19</v>
      </c>
      <c r="D333" s="21" t="str">
        <f>Spieltag!B320</f>
        <v>Dimitrios Limnios (A)</v>
      </c>
      <c r="E333" s="151" t="str">
        <f>Spieltag!C320</f>
        <v>Mittelfeld</v>
      </c>
      <c r="F333" s="152" t="s">
        <v>178</v>
      </c>
      <c r="G333" s="153"/>
      <c r="H333" s="154">
        <f t="shared" si="915"/>
        <v>0</v>
      </c>
      <c r="I333" s="153"/>
      <c r="J333" s="154">
        <f t="shared" si="916"/>
        <v>0</v>
      </c>
      <c r="K333" s="153"/>
      <c r="L333" s="154">
        <f t="shared" si="917"/>
        <v>0</v>
      </c>
      <c r="M333" s="153"/>
      <c r="N333" s="154">
        <f t="shared" si="918"/>
        <v>0</v>
      </c>
      <c r="O333" s="155">
        <f t="shared" si="912"/>
        <v>20</v>
      </c>
      <c r="P333" s="155">
        <f t="shared" si="913"/>
        <v>10</v>
      </c>
      <c r="Q333" s="155">
        <f t="shared" si="914"/>
        <v>10</v>
      </c>
      <c r="R333" s="153"/>
      <c r="S333" s="154">
        <f t="shared" si="919"/>
        <v>0</v>
      </c>
      <c r="T333" s="153"/>
      <c r="U333" s="154">
        <f t="shared" si="920"/>
        <v>0</v>
      </c>
      <c r="V333" s="155">
        <f t="shared" si="921"/>
        <v>0</v>
      </c>
      <c r="W333" s="156">
        <f t="shared" si="922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22</v>
      </c>
      <c r="D334" s="21" t="str">
        <f>Spieltag!B321</f>
        <v>Jacob Christensen (A)</v>
      </c>
      <c r="E334" s="151" t="str">
        <f>Spieltag!C321</f>
        <v>Mittelfeld</v>
      </c>
      <c r="F334" s="152" t="s">
        <v>178</v>
      </c>
      <c r="G334" s="153"/>
      <c r="H334" s="154">
        <f t="shared" si="915"/>
        <v>0</v>
      </c>
      <c r="I334" s="153"/>
      <c r="J334" s="154">
        <f t="shared" si="916"/>
        <v>0</v>
      </c>
      <c r="K334" s="153"/>
      <c r="L334" s="154">
        <f t="shared" si="917"/>
        <v>0</v>
      </c>
      <c r="M334" s="153"/>
      <c r="N334" s="154">
        <f t="shared" si="918"/>
        <v>0</v>
      </c>
      <c r="O334" s="155">
        <f t="shared" si="912"/>
        <v>20</v>
      </c>
      <c r="P334" s="155">
        <f t="shared" si="913"/>
        <v>10</v>
      </c>
      <c r="Q334" s="155">
        <f t="shared" si="914"/>
        <v>10</v>
      </c>
      <c r="R334" s="153"/>
      <c r="S334" s="154">
        <f t="shared" si="919"/>
        <v>0</v>
      </c>
      <c r="T334" s="153"/>
      <c r="U334" s="154">
        <f t="shared" si="920"/>
        <v>0</v>
      </c>
      <c r="V334" s="155">
        <f t="shared" si="921"/>
        <v>0</v>
      </c>
      <c r="W334" s="156">
        <f t="shared" si="922"/>
        <v>0</v>
      </c>
    </row>
    <row r="335" spans="1:23" ht="10.5" customHeight="1" x14ac:dyDescent="0.2">
      <c r="A335" s="11"/>
      <c r="B335" s="150">
        <f>COUNTA(Spieltag!K322:AA322)</f>
        <v>1</v>
      </c>
      <c r="C335" s="166">
        <f>Spieltag!A322</f>
        <v>29</v>
      </c>
      <c r="D335" s="21" t="str">
        <f>Spieltag!B322</f>
        <v>Jan Thielmann</v>
      </c>
      <c r="E335" s="151" t="str">
        <f>Spieltag!C322</f>
        <v>Mittelfeld</v>
      </c>
      <c r="F335" s="152" t="s">
        <v>178</v>
      </c>
      <c r="G335" s="153" t="s">
        <v>661</v>
      </c>
      <c r="H335" s="154">
        <f t="shared" si="915"/>
        <v>10</v>
      </c>
      <c r="I335" s="153"/>
      <c r="J335" s="154">
        <f t="shared" si="916"/>
        <v>0</v>
      </c>
      <c r="K335" s="153"/>
      <c r="L335" s="154">
        <f t="shared" si="917"/>
        <v>0</v>
      </c>
      <c r="M335" s="153"/>
      <c r="N335" s="154">
        <f t="shared" si="918"/>
        <v>0</v>
      </c>
      <c r="O335" s="155">
        <f t="shared" si="912"/>
        <v>20</v>
      </c>
      <c r="P335" s="155">
        <f t="shared" si="913"/>
        <v>10</v>
      </c>
      <c r="Q335" s="155">
        <f t="shared" si="914"/>
        <v>10</v>
      </c>
      <c r="R335" s="153"/>
      <c r="S335" s="154">
        <f t="shared" si="919"/>
        <v>0</v>
      </c>
      <c r="T335" s="153"/>
      <c r="U335" s="154">
        <f t="shared" si="920"/>
        <v>0</v>
      </c>
      <c r="V335" s="155">
        <f t="shared" si="921"/>
        <v>0</v>
      </c>
      <c r="W335" s="156">
        <f t="shared" si="922"/>
        <v>50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37</v>
      </c>
      <c r="D336" s="21" t="str">
        <f>Spieltag!B323</f>
        <v>Linton Maina</v>
      </c>
      <c r="E336" s="151" t="str">
        <f>Spieltag!C323</f>
        <v>Mittelfeld</v>
      </c>
      <c r="F336" s="152" t="s">
        <v>178</v>
      </c>
      <c r="G336" s="153"/>
      <c r="H336" s="154">
        <f t="shared" si="915"/>
        <v>0</v>
      </c>
      <c r="I336" s="153"/>
      <c r="J336" s="154">
        <f t="shared" si="916"/>
        <v>0</v>
      </c>
      <c r="K336" s="153"/>
      <c r="L336" s="154">
        <f t="shared" si="917"/>
        <v>0</v>
      </c>
      <c r="M336" s="153"/>
      <c r="N336" s="154">
        <f t="shared" si="918"/>
        <v>0</v>
      </c>
      <c r="O336" s="155">
        <f t="shared" si="912"/>
        <v>20</v>
      </c>
      <c r="P336" s="155">
        <f t="shared" si="913"/>
        <v>10</v>
      </c>
      <c r="Q336" s="155">
        <f t="shared" si="914"/>
        <v>10</v>
      </c>
      <c r="R336" s="153"/>
      <c r="S336" s="154">
        <f t="shared" si="919"/>
        <v>0</v>
      </c>
      <c r="T336" s="153"/>
      <c r="U336" s="154">
        <f t="shared" si="920"/>
        <v>0</v>
      </c>
      <c r="V336" s="155">
        <f t="shared" si="921"/>
        <v>0</v>
      </c>
      <c r="W336" s="156">
        <f t="shared" si="92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40</v>
      </c>
      <c r="D337" s="21" t="str">
        <f>Spieltag!B324</f>
        <v>Faride Alidou</v>
      </c>
      <c r="E337" s="151" t="str">
        <f>Spieltag!C324</f>
        <v>Mittelfeld</v>
      </c>
      <c r="F337" s="152" t="s">
        <v>178</v>
      </c>
      <c r="G337" s="153"/>
      <c r="H337" s="154">
        <f t="shared" si="915"/>
        <v>0</v>
      </c>
      <c r="I337" s="153"/>
      <c r="J337" s="154">
        <f t="shared" si="916"/>
        <v>0</v>
      </c>
      <c r="K337" s="153"/>
      <c r="L337" s="154">
        <f t="shared" si="917"/>
        <v>0</v>
      </c>
      <c r="M337" s="153"/>
      <c r="N337" s="154">
        <f t="shared" si="918"/>
        <v>0</v>
      </c>
      <c r="O337" s="155">
        <f t="shared" si="912"/>
        <v>20</v>
      </c>
      <c r="P337" s="155">
        <f t="shared" si="913"/>
        <v>10</v>
      </c>
      <c r="Q337" s="155">
        <f t="shared" si="914"/>
        <v>10</v>
      </c>
      <c r="R337" s="153"/>
      <c r="S337" s="154">
        <f t="shared" si="919"/>
        <v>0</v>
      </c>
      <c r="T337" s="153"/>
      <c r="U337" s="154">
        <f t="shared" si="920"/>
        <v>0</v>
      </c>
      <c r="V337" s="155">
        <f t="shared" si="921"/>
        <v>0</v>
      </c>
      <c r="W337" s="156">
        <f t="shared" si="92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47</v>
      </c>
      <c r="D338" s="21" t="str">
        <f>Spieltag!B325</f>
        <v>Mathias Olesen (A)</v>
      </c>
      <c r="E338" s="151" t="str">
        <f>Spieltag!C325</f>
        <v>Mittelfeld</v>
      </c>
      <c r="F338" s="152" t="s">
        <v>178</v>
      </c>
      <c r="G338" s="153"/>
      <c r="H338" s="154">
        <f t="shared" ref="H338" si="923">IF(G338="x",10,0)</f>
        <v>0</v>
      </c>
      <c r="I338" s="153"/>
      <c r="J338" s="154">
        <f t="shared" ref="J338" si="924">IF((I338="x"),-10,0)</f>
        <v>0</v>
      </c>
      <c r="K338" s="153"/>
      <c r="L338" s="154">
        <f t="shared" ref="L338" si="925">IF((K338="x"),-20,0)</f>
        <v>0</v>
      </c>
      <c r="M338" s="153"/>
      <c r="N338" s="154">
        <f t="shared" ref="N338" si="926">IF((M338="x"),-30,0)</f>
        <v>0</v>
      </c>
      <c r="O338" s="155">
        <f t="shared" si="912"/>
        <v>20</v>
      </c>
      <c r="P338" s="155">
        <f t="shared" si="913"/>
        <v>10</v>
      </c>
      <c r="Q338" s="155">
        <f t="shared" si="914"/>
        <v>10</v>
      </c>
      <c r="R338" s="153"/>
      <c r="S338" s="154">
        <f t="shared" ref="S338" si="927">R338*10</f>
        <v>0</v>
      </c>
      <c r="T338" s="153"/>
      <c r="U338" s="154">
        <f t="shared" ref="U338" si="928">T338*-15</f>
        <v>0</v>
      </c>
      <c r="V338" s="155">
        <f t="shared" ref="V338" si="929">IF(AND(R338=2),10,IF(R338=3,30,IF(R338=4,50,IF(R338=5,70,0))))</f>
        <v>0</v>
      </c>
      <c r="W338" s="156">
        <f t="shared" ref="W338" si="930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9</v>
      </c>
      <c r="D339" s="21" t="str">
        <f>Spieltag!B326</f>
        <v>Luca Waldschmidt</v>
      </c>
      <c r="E339" s="151" t="str">
        <f>Spieltag!C326</f>
        <v>Sturm</v>
      </c>
      <c r="F339" s="152" t="s">
        <v>178</v>
      </c>
      <c r="G339" s="153"/>
      <c r="H339" s="154">
        <f>IF(G339="x",10,0)</f>
        <v>0</v>
      </c>
      <c r="I339" s="153"/>
      <c r="J339" s="154">
        <f>IF((I339="x"),-10,0)</f>
        <v>0</v>
      </c>
      <c r="K339" s="153"/>
      <c r="L339" s="154">
        <f>IF((K339="x"),-20,0)</f>
        <v>0</v>
      </c>
      <c r="M339" s="153"/>
      <c r="N339" s="154">
        <f>IF((M339="x"),-30,0)</f>
        <v>0</v>
      </c>
      <c r="O339" s="155">
        <f t="shared" si="912"/>
        <v>20</v>
      </c>
      <c r="P339" s="155">
        <f t="shared" si="913"/>
        <v>10</v>
      </c>
      <c r="Q339" s="155">
        <f>IF(($W$5&lt;&gt;0),$W$5*-10,5)</f>
        <v>5</v>
      </c>
      <c r="R339" s="153"/>
      <c r="S339" s="154">
        <f>R339*10</f>
        <v>0</v>
      </c>
      <c r="T339" s="153"/>
      <c r="U339" s="154">
        <f>T339*-15</f>
        <v>0</v>
      </c>
      <c r="V339" s="155">
        <f>IF(AND(R339=2),10,IF(R339=3,30,IF(R339=4,50,IF(R339=5,70,0))))</f>
        <v>0</v>
      </c>
      <c r="W339" s="156">
        <f>IF(G339="x",H339+J339+L339+N339+O339+P339+Q339+S339+U339+V339,0)</f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13</v>
      </c>
      <c r="D340" s="21" t="str">
        <f>Spieltag!B327</f>
        <v>Mark Uth</v>
      </c>
      <c r="E340" s="151" t="str">
        <f>Spieltag!C327</f>
        <v>Sturm</v>
      </c>
      <c r="F340" s="152" t="s">
        <v>178</v>
      </c>
      <c r="G340" s="153"/>
      <c r="H340" s="154">
        <f t="shared" ref="H340:H344" si="931">IF(G340="x",10,0)</f>
        <v>0</v>
      </c>
      <c r="I340" s="153"/>
      <c r="J340" s="154">
        <f t="shared" ref="J340:J344" si="932">IF((I340="x"),-10,0)</f>
        <v>0</v>
      </c>
      <c r="K340" s="153"/>
      <c r="L340" s="154">
        <f t="shared" ref="L340:L344" si="933">IF((K340="x"),-20,0)</f>
        <v>0</v>
      </c>
      <c r="M340" s="153"/>
      <c r="N340" s="154">
        <f t="shared" ref="N340:N344" si="934">IF((M340="x"),-30,0)</f>
        <v>0</v>
      </c>
      <c r="O340" s="155">
        <f t="shared" si="912"/>
        <v>20</v>
      </c>
      <c r="P340" s="155">
        <f t="shared" si="913"/>
        <v>10</v>
      </c>
      <c r="Q340" s="155">
        <f t="shared" ref="Q340:Q345" si="935">IF(($W$5&lt;&gt;0),$W$5*-10,5)</f>
        <v>5</v>
      </c>
      <c r="R340" s="153"/>
      <c r="S340" s="154">
        <f t="shared" ref="S340:S344" si="936">R340*10</f>
        <v>0</v>
      </c>
      <c r="T340" s="153"/>
      <c r="U340" s="154">
        <f t="shared" ref="U340:U344" si="937">T340*-15</f>
        <v>0</v>
      </c>
      <c r="V340" s="155">
        <f t="shared" ref="V340:V344" si="938">IF(AND(R340=2),10,IF(R340=3,30,IF(R340=4,50,IF(R340=5,70,0))))</f>
        <v>0</v>
      </c>
      <c r="W340" s="156">
        <f t="shared" ref="W340:W344" si="939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21</v>
      </c>
      <c r="D341" s="21" t="str">
        <f>Spieltag!B328</f>
        <v>Steffen Tigges</v>
      </c>
      <c r="E341" s="151" t="str">
        <f>Spieltag!C328</f>
        <v>Sturm</v>
      </c>
      <c r="F341" s="152" t="s">
        <v>178</v>
      </c>
      <c r="G341" s="153"/>
      <c r="H341" s="154">
        <f t="shared" si="931"/>
        <v>0</v>
      </c>
      <c r="I341" s="153"/>
      <c r="J341" s="154">
        <f t="shared" si="932"/>
        <v>0</v>
      </c>
      <c r="K341" s="153"/>
      <c r="L341" s="154">
        <f t="shared" si="933"/>
        <v>0</v>
      </c>
      <c r="M341" s="153"/>
      <c r="N341" s="154">
        <f t="shared" si="934"/>
        <v>0</v>
      </c>
      <c r="O341" s="155">
        <f t="shared" si="912"/>
        <v>20</v>
      </c>
      <c r="P341" s="155">
        <f t="shared" si="913"/>
        <v>10</v>
      </c>
      <c r="Q341" s="155">
        <f t="shared" si="935"/>
        <v>5</v>
      </c>
      <c r="R341" s="153"/>
      <c r="S341" s="154">
        <f t="shared" si="936"/>
        <v>0</v>
      </c>
      <c r="T341" s="153"/>
      <c r="U341" s="154">
        <f t="shared" si="937"/>
        <v>0</v>
      </c>
      <c r="V341" s="155">
        <f t="shared" si="938"/>
        <v>0</v>
      </c>
      <c r="W341" s="156">
        <f t="shared" si="939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23</v>
      </c>
      <c r="D342" s="21" t="str">
        <f>Spieltag!B329</f>
        <v>Sargis Adamyan (A)</v>
      </c>
      <c r="E342" s="151" t="str">
        <f>Spieltag!C329</f>
        <v>Sturm</v>
      </c>
      <c r="F342" s="152" t="s">
        <v>178</v>
      </c>
      <c r="G342" s="153"/>
      <c r="H342" s="154">
        <f t="shared" si="931"/>
        <v>0</v>
      </c>
      <c r="I342" s="153"/>
      <c r="J342" s="154">
        <f t="shared" si="932"/>
        <v>0</v>
      </c>
      <c r="K342" s="153"/>
      <c r="L342" s="154">
        <f t="shared" si="933"/>
        <v>0</v>
      </c>
      <c r="M342" s="153"/>
      <c r="N342" s="154">
        <f t="shared" si="934"/>
        <v>0</v>
      </c>
      <c r="O342" s="155">
        <f t="shared" si="912"/>
        <v>20</v>
      </c>
      <c r="P342" s="155">
        <f t="shared" si="913"/>
        <v>10</v>
      </c>
      <c r="Q342" s="155">
        <f t="shared" si="935"/>
        <v>5</v>
      </c>
      <c r="R342" s="153"/>
      <c r="S342" s="154">
        <f t="shared" si="936"/>
        <v>0</v>
      </c>
      <c r="T342" s="153"/>
      <c r="U342" s="154">
        <f t="shared" si="937"/>
        <v>0</v>
      </c>
      <c r="V342" s="155">
        <f t="shared" si="938"/>
        <v>0</v>
      </c>
      <c r="W342" s="156">
        <f t="shared" si="939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27</v>
      </c>
      <c r="D343" s="21" t="str">
        <f>Spieltag!B330</f>
        <v>Davie Selke</v>
      </c>
      <c r="E343" s="151" t="str">
        <f>Spieltag!C330</f>
        <v>Sturm</v>
      </c>
      <c r="F343" s="152" t="s">
        <v>178</v>
      </c>
      <c r="G343" s="153"/>
      <c r="H343" s="154">
        <f t="shared" si="931"/>
        <v>0</v>
      </c>
      <c r="I343" s="153"/>
      <c r="J343" s="154">
        <f t="shared" si="932"/>
        <v>0</v>
      </c>
      <c r="K343" s="153"/>
      <c r="L343" s="154">
        <f t="shared" si="933"/>
        <v>0</v>
      </c>
      <c r="M343" s="153"/>
      <c r="N343" s="154">
        <f t="shared" si="934"/>
        <v>0</v>
      </c>
      <c r="O343" s="155">
        <f t="shared" si="912"/>
        <v>20</v>
      </c>
      <c r="P343" s="155">
        <f t="shared" si="913"/>
        <v>10</v>
      </c>
      <c r="Q343" s="155">
        <f t="shared" si="935"/>
        <v>5</v>
      </c>
      <c r="R343" s="153"/>
      <c r="S343" s="154">
        <f t="shared" si="936"/>
        <v>0</v>
      </c>
      <c r="T343" s="153"/>
      <c r="U343" s="154">
        <f t="shared" si="937"/>
        <v>0</v>
      </c>
      <c r="V343" s="155">
        <f t="shared" si="938"/>
        <v>0</v>
      </c>
      <c r="W343" s="156">
        <f t="shared" si="939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33</v>
      </c>
      <c r="D344" s="21" t="str">
        <f>Spieltag!B331</f>
        <v>Florian Dietz</v>
      </c>
      <c r="E344" s="151" t="str">
        <f>Spieltag!C331</f>
        <v>Sturm</v>
      </c>
      <c r="F344" s="152" t="s">
        <v>178</v>
      </c>
      <c r="G344" s="153"/>
      <c r="H344" s="154">
        <f t="shared" si="931"/>
        <v>0</v>
      </c>
      <c r="I344" s="153"/>
      <c r="J344" s="154">
        <f t="shared" si="932"/>
        <v>0</v>
      </c>
      <c r="K344" s="153"/>
      <c r="L344" s="154">
        <f t="shared" si="933"/>
        <v>0</v>
      </c>
      <c r="M344" s="153"/>
      <c r="N344" s="154">
        <f t="shared" si="934"/>
        <v>0</v>
      </c>
      <c r="O344" s="155">
        <f t="shared" si="912"/>
        <v>20</v>
      </c>
      <c r="P344" s="155">
        <f t="shared" si="913"/>
        <v>10</v>
      </c>
      <c r="Q344" s="155">
        <f t="shared" si="935"/>
        <v>5</v>
      </c>
      <c r="R344" s="153"/>
      <c r="S344" s="154">
        <f t="shared" si="936"/>
        <v>0</v>
      </c>
      <c r="T344" s="153"/>
      <c r="U344" s="154">
        <f t="shared" si="937"/>
        <v>0</v>
      </c>
      <c r="V344" s="155">
        <f t="shared" si="938"/>
        <v>0</v>
      </c>
      <c r="W344" s="156">
        <f t="shared" si="939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42</v>
      </c>
      <c r="D345" s="21" t="str">
        <f>Spieltag!B332</f>
        <v>Damian Downs</v>
      </c>
      <c r="E345" s="151" t="str">
        <f>Spieltag!C332</f>
        <v>Sturm</v>
      </c>
      <c r="F345" s="152" t="s">
        <v>178</v>
      </c>
      <c r="G345" s="153"/>
      <c r="H345" s="154">
        <f t="shared" ref="H345" si="940">IF(G345="x",10,0)</f>
        <v>0</v>
      </c>
      <c r="I345" s="153"/>
      <c r="J345" s="154">
        <f t="shared" ref="J345" si="941">IF((I345="x"),-10,0)</f>
        <v>0</v>
      </c>
      <c r="K345" s="153"/>
      <c r="L345" s="154">
        <f t="shared" ref="L345" si="942">IF((K345="x"),-20,0)</f>
        <v>0</v>
      </c>
      <c r="M345" s="153"/>
      <c r="N345" s="154">
        <f t="shared" ref="N345" si="943">IF((M345="x"),-30,0)</f>
        <v>0</v>
      </c>
      <c r="O345" s="155">
        <f t="shared" si="912"/>
        <v>20</v>
      </c>
      <c r="P345" s="155">
        <f t="shared" si="913"/>
        <v>10</v>
      </c>
      <c r="Q345" s="155">
        <f t="shared" si="935"/>
        <v>5</v>
      </c>
      <c r="R345" s="153"/>
      <c r="S345" s="154">
        <f t="shared" ref="S345" si="944">R345*10</f>
        <v>0</v>
      </c>
      <c r="T345" s="153"/>
      <c r="U345" s="154">
        <f t="shared" ref="U345" si="945">T345*-15</f>
        <v>0</v>
      </c>
      <c r="V345" s="155">
        <f t="shared" ref="V345" si="946">IF(AND(R345=2),10,IF(R345=3,30,IF(R345=4,50,IF(R345=5,70,0))))</f>
        <v>0</v>
      </c>
      <c r="W345" s="156">
        <f t="shared" ref="W345" si="947">IF(G345="x",H345+J345+L345+N345+O345+P345+Q345+S345+U345+V345,0)</f>
        <v>0</v>
      </c>
    </row>
    <row r="346" spans="1:23" s="144" customFormat="1" ht="17.25" thickBot="1" x14ac:dyDescent="0.25">
      <c r="A346" s="142"/>
      <c r="B346" s="143">
        <f>SUM(B347:B376)</f>
        <v>6</v>
      </c>
      <c r="C346" s="158"/>
      <c r="D346" s="234" t="s">
        <v>119</v>
      </c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5"/>
    </row>
    <row r="347" spans="1:23" ht="10.5" customHeight="1" x14ac:dyDescent="0.2">
      <c r="A347" s="11"/>
      <c r="B347" s="150">
        <f>COUNTA(Spieltag!K334:AA334)</f>
        <v>1</v>
      </c>
      <c r="C347" s="166">
        <f>Spieltag!A334</f>
        <v>1</v>
      </c>
      <c r="D347" s="21" t="str">
        <f>Spieltag!B334</f>
        <v>Oliver Baumann</v>
      </c>
      <c r="E347" s="151" t="str">
        <f>Spieltag!C334</f>
        <v>Torwart</v>
      </c>
      <c r="F347" s="152" t="s">
        <v>77</v>
      </c>
      <c r="G347" s="153" t="s">
        <v>661</v>
      </c>
      <c r="H347" s="154">
        <f t="shared" ref="H347" si="948">IF(G347="x",10,0)</f>
        <v>10</v>
      </c>
      <c r="I347" s="153"/>
      <c r="J347" s="154">
        <f t="shared" ref="J347" si="949">IF((I347="x"),-10,0)</f>
        <v>0</v>
      </c>
      <c r="K347" s="153"/>
      <c r="L347" s="154">
        <f t="shared" ref="L347" si="950">IF((K347="x"),-20,0)</f>
        <v>0</v>
      </c>
      <c r="M347" s="153"/>
      <c r="N347" s="154">
        <f t="shared" ref="N347" si="951">IF((M347="x"),-30,0)</f>
        <v>0</v>
      </c>
      <c r="O347" s="155">
        <f t="shared" ref="O347:O376" si="952">IF(AND($V$3&gt;$W$3),20,IF($V$3=$W$3,10,0))</f>
        <v>0</v>
      </c>
      <c r="P347" s="155">
        <f t="shared" ref="P347:P376" si="953">IF(($V$3&lt;&gt;0),$V$3*10,-5)</f>
        <v>10</v>
      </c>
      <c r="Q347" s="155">
        <f>IF(($W$3&lt;&gt;0),$W$3*-10,20)</f>
        <v>-20</v>
      </c>
      <c r="R347" s="153"/>
      <c r="S347" s="154">
        <f>R347*20</f>
        <v>0</v>
      </c>
      <c r="T347" s="153"/>
      <c r="U347" s="154">
        <f t="shared" ref="U347" si="954">T347*-15</f>
        <v>0</v>
      </c>
      <c r="V347" s="155">
        <f t="shared" ref="V347" si="955">IF(AND(R347=2),10,IF(R347=3,30,IF(R347=4,50,IF(R347=5,70,0))))</f>
        <v>0</v>
      </c>
      <c r="W347" s="156">
        <f t="shared" ref="W347" si="956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Nahuell Noll</v>
      </c>
      <c r="E348" s="151" t="str">
        <f>Spieltag!C335</f>
        <v>Torwart</v>
      </c>
      <c r="F348" s="152" t="s">
        <v>77</v>
      </c>
      <c r="G348" s="153"/>
      <c r="H348" s="154">
        <f t="shared" ref="H348:H349" si="957">IF(G348="x",10,0)</f>
        <v>0</v>
      </c>
      <c r="I348" s="153"/>
      <c r="J348" s="154">
        <f t="shared" ref="J348:J349" si="958">IF((I348="x"),-10,0)</f>
        <v>0</v>
      </c>
      <c r="K348" s="153"/>
      <c r="L348" s="154">
        <f t="shared" ref="L348:L349" si="959">IF((K348="x"),-20,0)</f>
        <v>0</v>
      </c>
      <c r="M348" s="153"/>
      <c r="N348" s="154">
        <f t="shared" ref="N348:N349" si="960">IF((M348="x"),-30,0)</f>
        <v>0</v>
      </c>
      <c r="O348" s="155">
        <f t="shared" si="952"/>
        <v>0</v>
      </c>
      <c r="P348" s="155">
        <f t="shared" si="953"/>
        <v>10</v>
      </c>
      <c r="Q348" s="155">
        <f t="shared" ref="Q348:Q349" si="961">IF(($W$3&lt;&gt;0),$W$3*-10,20)</f>
        <v>-20</v>
      </c>
      <c r="R348" s="153"/>
      <c r="S348" s="154">
        <f t="shared" ref="S348:S349" si="962">R348*20</f>
        <v>0</v>
      </c>
      <c r="T348" s="153"/>
      <c r="U348" s="154">
        <f t="shared" ref="U348:U349" si="963">T348*-15</f>
        <v>0</v>
      </c>
      <c r="V348" s="155">
        <f t="shared" ref="V348:V349" si="964">IF(AND(R348=2),10,IF(R348=3,30,IF(R348=4,50,IF(R348=5,70,0))))</f>
        <v>0</v>
      </c>
      <c r="W348" s="156">
        <f t="shared" ref="W348:W349" si="965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Luca Philipp</v>
      </c>
      <c r="E349" s="151" t="str">
        <f>Spieltag!C336</f>
        <v>Torwart</v>
      </c>
      <c r="F349" s="152" t="s">
        <v>77</v>
      </c>
      <c r="G349" s="153"/>
      <c r="H349" s="154">
        <f t="shared" si="957"/>
        <v>0</v>
      </c>
      <c r="I349" s="153"/>
      <c r="J349" s="154">
        <f t="shared" si="958"/>
        <v>0</v>
      </c>
      <c r="K349" s="153"/>
      <c r="L349" s="154">
        <f t="shared" si="959"/>
        <v>0</v>
      </c>
      <c r="M349" s="153"/>
      <c r="N349" s="154">
        <f t="shared" si="960"/>
        <v>0</v>
      </c>
      <c r="O349" s="155">
        <f t="shared" si="952"/>
        <v>0</v>
      </c>
      <c r="P349" s="155">
        <f t="shared" si="953"/>
        <v>10</v>
      </c>
      <c r="Q349" s="155">
        <f t="shared" si="961"/>
        <v>-20</v>
      </c>
      <c r="R349" s="153"/>
      <c r="S349" s="154">
        <f t="shared" si="962"/>
        <v>0</v>
      </c>
      <c r="T349" s="153"/>
      <c r="U349" s="154">
        <f t="shared" si="963"/>
        <v>0</v>
      </c>
      <c r="V349" s="155">
        <f t="shared" si="964"/>
        <v>0</v>
      </c>
      <c r="W349" s="156">
        <f t="shared" si="965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3</v>
      </c>
      <c r="D350" s="21" t="str">
        <f>Spieltag!B337</f>
        <v>Pavel Kaderábek (A)</v>
      </c>
      <c r="E350" s="151" t="str">
        <f>Spieltag!C337</f>
        <v>Abwehr</v>
      </c>
      <c r="F350" s="152" t="s">
        <v>77</v>
      </c>
      <c r="G350" s="153"/>
      <c r="H350" s="154">
        <f t="shared" ref="H350" si="966">IF(G350="x",10,0)</f>
        <v>0</v>
      </c>
      <c r="I350" s="153"/>
      <c r="J350" s="154">
        <f t="shared" ref="J350" si="967">IF((I350="x"),-10,0)</f>
        <v>0</v>
      </c>
      <c r="K350" s="153"/>
      <c r="L350" s="154">
        <f t="shared" ref="L350" si="968">IF((K350="x"),-20,0)</f>
        <v>0</v>
      </c>
      <c r="M350" s="153"/>
      <c r="N350" s="154">
        <f t="shared" ref="N350" si="969">IF((M350="x"),-30,0)</f>
        <v>0</v>
      </c>
      <c r="O350" s="155">
        <f t="shared" si="952"/>
        <v>0</v>
      </c>
      <c r="P350" s="155">
        <f t="shared" si="953"/>
        <v>10</v>
      </c>
      <c r="Q350" s="155">
        <f t="shared" ref="Q350:Q358" si="970">IF(($W$3&lt;&gt;0),$W$3*-10,15)</f>
        <v>-20</v>
      </c>
      <c r="R350" s="153"/>
      <c r="S350" s="154">
        <f t="shared" ref="S350" si="971">R350*15</f>
        <v>0</v>
      </c>
      <c r="T350" s="153"/>
      <c r="U350" s="154">
        <f t="shared" ref="U350" si="972">T350*-15</f>
        <v>0</v>
      </c>
      <c r="V350" s="155">
        <f t="shared" ref="V350" si="973">IF(AND(R350=2),10,IF(R350=3,30,IF(R350=4,50,IF(R350=5,70,0))))</f>
        <v>0</v>
      </c>
      <c r="W350" s="156">
        <f t="shared" ref="W350" si="974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5</v>
      </c>
      <c r="D351" s="21" t="str">
        <f>Spieltag!B338</f>
        <v>Ozan Kabak (A)</v>
      </c>
      <c r="E351" s="151" t="str">
        <f>Spieltag!C338</f>
        <v>Abwehr</v>
      </c>
      <c r="F351" s="152" t="s">
        <v>77</v>
      </c>
      <c r="G351" s="153"/>
      <c r="H351" s="154">
        <f t="shared" ref="H351:H358" si="975">IF(G351="x",10,0)</f>
        <v>0</v>
      </c>
      <c r="I351" s="153"/>
      <c r="J351" s="154">
        <f t="shared" ref="J351:J358" si="976">IF((I351="x"),-10,0)</f>
        <v>0</v>
      </c>
      <c r="K351" s="153"/>
      <c r="L351" s="154">
        <f t="shared" ref="L351:L358" si="977">IF((K351="x"),-20,0)</f>
        <v>0</v>
      </c>
      <c r="M351" s="153"/>
      <c r="N351" s="154">
        <f t="shared" ref="N351:N358" si="978">IF((M351="x"),-30,0)</f>
        <v>0</v>
      </c>
      <c r="O351" s="155">
        <f t="shared" si="952"/>
        <v>0</v>
      </c>
      <c r="P351" s="155">
        <f t="shared" si="953"/>
        <v>10</v>
      </c>
      <c r="Q351" s="155">
        <f t="shared" si="970"/>
        <v>-20</v>
      </c>
      <c r="R351" s="153"/>
      <c r="S351" s="154">
        <f t="shared" ref="S351:S358" si="979">R351*15</f>
        <v>0</v>
      </c>
      <c r="T351" s="153"/>
      <c r="U351" s="154">
        <f t="shared" ref="U351:U358" si="980">T351*-15</f>
        <v>0</v>
      </c>
      <c r="V351" s="155">
        <f t="shared" ref="V351:V358" si="981">IF(AND(R351=2),10,IF(R351=3,30,IF(R351=4,50,IF(R351=5,70,0))))</f>
        <v>0</v>
      </c>
      <c r="W351" s="156">
        <f t="shared" ref="W351:W358" si="982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15</v>
      </c>
      <c r="D352" s="21" t="str">
        <f>Spieltag!B339</f>
        <v>Kasim Adams (A)</v>
      </c>
      <c r="E352" s="151" t="str">
        <f>Spieltag!C339</f>
        <v>Abwehr</v>
      </c>
      <c r="F352" s="152" t="s">
        <v>77</v>
      </c>
      <c r="G352" s="153"/>
      <c r="H352" s="154">
        <f t="shared" si="975"/>
        <v>0</v>
      </c>
      <c r="I352" s="153"/>
      <c r="J352" s="154">
        <f t="shared" si="976"/>
        <v>0</v>
      </c>
      <c r="K352" s="153"/>
      <c r="L352" s="154">
        <f t="shared" si="977"/>
        <v>0</v>
      </c>
      <c r="M352" s="153"/>
      <c r="N352" s="154">
        <f t="shared" si="978"/>
        <v>0</v>
      </c>
      <c r="O352" s="155">
        <f t="shared" si="952"/>
        <v>0</v>
      </c>
      <c r="P352" s="155">
        <f t="shared" si="953"/>
        <v>10</v>
      </c>
      <c r="Q352" s="155">
        <f t="shared" si="970"/>
        <v>-20</v>
      </c>
      <c r="R352" s="153"/>
      <c r="S352" s="154">
        <f t="shared" si="979"/>
        <v>0</v>
      </c>
      <c r="T352" s="153"/>
      <c r="U352" s="154">
        <f t="shared" si="980"/>
        <v>0</v>
      </c>
      <c r="V352" s="155">
        <f t="shared" si="981"/>
        <v>0</v>
      </c>
      <c r="W352" s="156">
        <f t="shared" si="982"/>
        <v>0</v>
      </c>
    </row>
    <row r="353" spans="1:23" ht="10.5" customHeight="1" x14ac:dyDescent="0.2">
      <c r="A353" s="11"/>
      <c r="B353" s="150">
        <f>COUNTA(Spieltag!K340:AA340)</f>
        <v>2</v>
      </c>
      <c r="C353" s="166">
        <f>Spieltag!A340</f>
        <v>22</v>
      </c>
      <c r="D353" s="21" t="str">
        <f>Spieltag!B340</f>
        <v>Kevin Vogt</v>
      </c>
      <c r="E353" s="151" t="str">
        <f>Spieltag!C340</f>
        <v>Abwehr</v>
      </c>
      <c r="F353" s="152" t="s">
        <v>77</v>
      </c>
      <c r="G353" s="153" t="s">
        <v>661</v>
      </c>
      <c r="H353" s="154">
        <f t="shared" si="975"/>
        <v>10</v>
      </c>
      <c r="I353" s="153"/>
      <c r="J353" s="154">
        <f t="shared" si="976"/>
        <v>0</v>
      </c>
      <c r="K353" s="153"/>
      <c r="L353" s="154">
        <f t="shared" si="977"/>
        <v>0</v>
      </c>
      <c r="M353" s="153"/>
      <c r="N353" s="154">
        <f t="shared" si="978"/>
        <v>0</v>
      </c>
      <c r="O353" s="155">
        <f t="shared" si="952"/>
        <v>0</v>
      </c>
      <c r="P353" s="155">
        <f t="shared" si="953"/>
        <v>10</v>
      </c>
      <c r="Q353" s="155">
        <f t="shared" si="970"/>
        <v>-20</v>
      </c>
      <c r="R353" s="153"/>
      <c r="S353" s="154">
        <f t="shared" si="979"/>
        <v>0</v>
      </c>
      <c r="T353" s="153"/>
      <c r="U353" s="154">
        <f t="shared" si="980"/>
        <v>0</v>
      </c>
      <c r="V353" s="155">
        <f t="shared" si="981"/>
        <v>0</v>
      </c>
      <c r="W353" s="156">
        <f t="shared" si="982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John Anthony Brooks</v>
      </c>
      <c r="E354" s="151" t="str">
        <f>Spieltag!C341</f>
        <v>Abwehr</v>
      </c>
      <c r="F354" s="152" t="s">
        <v>77</v>
      </c>
      <c r="G354" s="153"/>
      <c r="H354" s="154">
        <f t="shared" si="975"/>
        <v>0</v>
      </c>
      <c r="I354" s="153"/>
      <c r="J354" s="154">
        <f t="shared" si="976"/>
        <v>0</v>
      </c>
      <c r="K354" s="153"/>
      <c r="L354" s="154">
        <f t="shared" si="977"/>
        <v>0</v>
      </c>
      <c r="M354" s="153"/>
      <c r="N354" s="154">
        <f t="shared" si="978"/>
        <v>0</v>
      </c>
      <c r="O354" s="155">
        <f t="shared" si="952"/>
        <v>0</v>
      </c>
      <c r="P354" s="155">
        <f t="shared" si="953"/>
        <v>10</v>
      </c>
      <c r="Q354" s="155">
        <f t="shared" si="970"/>
        <v>-20</v>
      </c>
      <c r="R354" s="153"/>
      <c r="S354" s="154">
        <f t="shared" si="979"/>
        <v>0</v>
      </c>
      <c r="T354" s="153"/>
      <c r="U354" s="154">
        <f t="shared" si="980"/>
        <v>0</v>
      </c>
      <c r="V354" s="155">
        <f t="shared" si="981"/>
        <v>0</v>
      </c>
      <c r="W354" s="156">
        <f t="shared" si="982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25</v>
      </c>
      <c r="D355" s="21" t="str">
        <f>Spieltag!B342</f>
        <v>Kevin Akpoguma</v>
      </c>
      <c r="E355" s="151" t="str">
        <f>Spieltag!C342</f>
        <v>Abwehr</v>
      </c>
      <c r="F355" s="152" t="s">
        <v>77</v>
      </c>
      <c r="G355" s="153"/>
      <c r="H355" s="154">
        <f t="shared" si="975"/>
        <v>0</v>
      </c>
      <c r="I355" s="153"/>
      <c r="J355" s="154">
        <f t="shared" si="976"/>
        <v>0</v>
      </c>
      <c r="K355" s="153"/>
      <c r="L355" s="154">
        <f t="shared" si="977"/>
        <v>0</v>
      </c>
      <c r="M355" s="153"/>
      <c r="N355" s="154">
        <f t="shared" si="978"/>
        <v>0</v>
      </c>
      <c r="O355" s="155">
        <f t="shared" si="952"/>
        <v>0</v>
      </c>
      <c r="P355" s="155">
        <f t="shared" si="953"/>
        <v>10</v>
      </c>
      <c r="Q355" s="155">
        <f t="shared" si="970"/>
        <v>-20</v>
      </c>
      <c r="R355" s="153"/>
      <c r="S355" s="154">
        <f t="shared" si="979"/>
        <v>0</v>
      </c>
      <c r="T355" s="153"/>
      <c r="U355" s="154">
        <f t="shared" si="980"/>
        <v>0</v>
      </c>
      <c r="V355" s="155">
        <f t="shared" si="981"/>
        <v>0</v>
      </c>
      <c r="W355" s="156">
        <f t="shared" si="982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34</v>
      </c>
      <c r="D356" s="21" t="str">
        <f>Spieltag!B343</f>
        <v>Stanley Nsoki (A)</v>
      </c>
      <c r="E356" s="151" t="str">
        <f>Spieltag!C343</f>
        <v>Abwehr</v>
      </c>
      <c r="F356" s="152" t="s">
        <v>77</v>
      </c>
      <c r="G356" s="153"/>
      <c r="H356" s="154">
        <f t="shared" si="975"/>
        <v>0</v>
      </c>
      <c r="I356" s="153"/>
      <c r="J356" s="154">
        <f t="shared" si="976"/>
        <v>0</v>
      </c>
      <c r="K356" s="153"/>
      <c r="L356" s="154">
        <f t="shared" si="977"/>
        <v>0</v>
      </c>
      <c r="M356" s="153"/>
      <c r="N356" s="154">
        <f t="shared" si="978"/>
        <v>0</v>
      </c>
      <c r="O356" s="155">
        <f t="shared" si="952"/>
        <v>0</v>
      </c>
      <c r="P356" s="155">
        <f t="shared" si="953"/>
        <v>10</v>
      </c>
      <c r="Q356" s="155">
        <f t="shared" si="970"/>
        <v>-20</v>
      </c>
      <c r="R356" s="153"/>
      <c r="S356" s="154">
        <f t="shared" si="979"/>
        <v>0</v>
      </c>
      <c r="T356" s="153"/>
      <c r="U356" s="154">
        <f t="shared" si="980"/>
        <v>0</v>
      </c>
      <c r="V356" s="155">
        <f t="shared" si="981"/>
        <v>0</v>
      </c>
      <c r="W356" s="156">
        <f t="shared" si="982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41</v>
      </c>
      <c r="D357" s="21" t="str">
        <f>Spieltag!B344</f>
        <v>Attila Szalai (A)</v>
      </c>
      <c r="E357" s="151" t="str">
        <f>Spieltag!C344</f>
        <v>Abwehr</v>
      </c>
      <c r="F357" s="152" t="s">
        <v>77</v>
      </c>
      <c r="G357" s="153"/>
      <c r="H357" s="154">
        <f t="shared" ref="H357" si="983">IF(G357="x",10,0)</f>
        <v>0</v>
      </c>
      <c r="I357" s="153"/>
      <c r="J357" s="154">
        <f t="shared" ref="J357" si="984">IF((I357="x"),-10,0)</f>
        <v>0</v>
      </c>
      <c r="K357" s="153"/>
      <c r="L357" s="154">
        <f t="shared" ref="L357" si="985">IF((K357="x"),-20,0)</f>
        <v>0</v>
      </c>
      <c r="M357" s="153"/>
      <c r="N357" s="154">
        <f t="shared" ref="N357" si="986">IF((M357="x"),-30,0)</f>
        <v>0</v>
      </c>
      <c r="O357" s="155">
        <f t="shared" si="952"/>
        <v>0</v>
      </c>
      <c r="P357" s="155">
        <f t="shared" si="953"/>
        <v>10</v>
      </c>
      <c r="Q357" s="155">
        <f t="shared" si="970"/>
        <v>-20</v>
      </c>
      <c r="R357" s="153"/>
      <c r="S357" s="154">
        <f t="shared" ref="S357" si="987">R357*15</f>
        <v>0</v>
      </c>
      <c r="T357" s="153"/>
      <c r="U357" s="154">
        <f t="shared" ref="U357" si="988">T357*-15</f>
        <v>0</v>
      </c>
      <c r="V357" s="155">
        <f t="shared" ref="V357" si="989">IF(AND(R357=2),10,IF(R357=3,30,IF(R357=4,50,IF(R357=5,70,0))))</f>
        <v>0</v>
      </c>
      <c r="W357" s="156">
        <f t="shared" ref="W357" si="990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48</v>
      </c>
      <c r="D358" s="21" t="str">
        <f>Spieltag!B345</f>
        <v>Joshua Quarshie</v>
      </c>
      <c r="E358" s="151" t="str">
        <f>Spieltag!C345</f>
        <v>Abwehr</v>
      </c>
      <c r="F358" s="152" t="s">
        <v>77</v>
      </c>
      <c r="G358" s="153"/>
      <c r="H358" s="154">
        <f t="shared" si="975"/>
        <v>0</v>
      </c>
      <c r="I358" s="153"/>
      <c r="J358" s="154">
        <f t="shared" si="976"/>
        <v>0</v>
      </c>
      <c r="K358" s="153"/>
      <c r="L358" s="154">
        <f t="shared" si="977"/>
        <v>0</v>
      </c>
      <c r="M358" s="153"/>
      <c r="N358" s="154">
        <f t="shared" si="978"/>
        <v>0</v>
      </c>
      <c r="O358" s="155">
        <f t="shared" si="952"/>
        <v>0</v>
      </c>
      <c r="P358" s="155">
        <f t="shared" si="953"/>
        <v>10</v>
      </c>
      <c r="Q358" s="155">
        <f t="shared" si="970"/>
        <v>-20</v>
      </c>
      <c r="R358" s="153"/>
      <c r="S358" s="154">
        <f t="shared" si="979"/>
        <v>0</v>
      </c>
      <c r="T358" s="153"/>
      <c r="U358" s="154">
        <f t="shared" si="980"/>
        <v>0</v>
      </c>
      <c r="V358" s="155">
        <f t="shared" si="981"/>
        <v>0</v>
      </c>
      <c r="W358" s="156">
        <f t="shared" si="982"/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6</v>
      </c>
      <c r="D359" s="21" t="str">
        <f>Spieltag!B346</f>
        <v>Grischa Prömel</v>
      </c>
      <c r="E359" s="151" t="str">
        <f>Spieltag!C346</f>
        <v>Mittelfeld</v>
      </c>
      <c r="F359" s="152" t="s">
        <v>77</v>
      </c>
      <c r="G359" s="153"/>
      <c r="H359" s="154">
        <f>IF(G359="x",10,0)</f>
        <v>0</v>
      </c>
      <c r="I359" s="153"/>
      <c r="J359" s="154">
        <f>IF((I359="x"),-10,0)</f>
        <v>0</v>
      </c>
      <c r="K359" s="153"/>
      <c r="L359" s="154">
        <f>IF((K359="x"),-20,0)</f>
        <v>0</v>
      </c>
      <c r="M359" s="153"/>
      <c r="N359" s="154">
        <f>IF((M359="x"),-30,0)</f>
        <v>0</v>
      </c>
      <c r="O359" s="155">
        <f t="shared" si="952"/>
        <v>0</v>
      </c>
      <c r="P359" s="155">
        <f t="shared" si="953"/>
        <v>10</v>
      </c>
      <c r="Q359" s="155">
        <f t="shared" ref="Q359:Q369" si="991">IF(($W$3&lt;&gt;0),$W$3*-10,10)</f>
        <v>-20</v>
      </c>
      <c r="R359" s="153"/>
      <c r="S359" s="154">
        <f>R359*10</f>
        <v>0</v>
      </c>
      <c r="T359" s="153"/>
      <c r="U359" s="154">
        <f>T359*-15</f>
        <v>0</v>
      </c>
      <c r="V359" s="155">
        <f>IF(AND(R359=2),10,IF(R359=3,30,IF(R359=4,50,IF(R359=5,70,0))))</f>
        <v>0</v>
      </c>
      <c r="W359" s="156">
        <f>IF(G359="x",H359+J359+L359+N359+O359+P359+Q359+S359+U359+V359,0)</f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8</v>
      </c>
      <c r="D360" s="21" t="str">
        <f>Spieltag!B347</f>
        <v>Dennis Geiger</v>
      </c>
      <c r="E360" s="151" t="str">
        <f>Spieltag!C347</f>
        <v>Mittelfeld</v>
      </c>
      <c r="F360" s="152" t="s">
        <v>77</v>
      </c>
      <c r="G360" s="153"/>
      <c r="H360" s="154">
        <f t="shared" ref="H360:H369" si="992">IF(G360="x",10,0)</f>
        <v>0</v>
      </c>
      <c r="I360" s="153"/>
      <c r="J360" s="154">
        <f t="shared" ref="J360:J369" si="993">IF((I360="x"),-10,0)</f>
        <v>0</v>
      </c>
      <c r="K360" s="153"/>
      <c r="L360" s="154">
        <f t="shared" ref="L360:L369" si="994">IF((K360="x"),-20,0)</f>
        <v>0</v>
      </c>
      <c r="M360" s="153"/>
      <c r="N360" s="154">
        <f t="shared" ref="N360:N369" si="995">IF((M360="x"),-30,0)</f>
        <v>0</v>
      </c>
      <c r="O360" s="155">
        <f t="shared" si="952"/>
        <v>0</v>
      </c>
      <c r="P360" s="155">
        <f t="shared" si="953"/>
        <v>10</v>
      </c>
      <c r="Q360" s="155">
        <f t="shared" si="991"/>
        <v>-20</v>
      </c>
      <c r="R360" s="153"/>
      <c r="S360" s="154">
        <f t="shared" ref="S360:S369" si="996">R360*10</f>
        <v>0</v>
      </c>
      <c r="T360" s="153"/>
      <c r="U360" s="154">
        <f t="shared" ref="U360:U369" si="997">T360*-15</f>
        <v>0</v>
      </c>
      <c r="V360" s="155">
        <f t="shared" ref="V360:V368" si="998">IF(AND(R360=2),10,IF(R360=3,30,IF(R360=4,50,IF(R360=5,70,0))))</f>
        <v>0</v>
      </c>
      <c r="W360" s="156">
        <f t="shared" ref="W360:W368" si="999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11</v>
      </c>
      <c r="D361" s="21" t="str">
        <f>Spieltag!B348</f>
        <v>Florian Grillitsch (A)</v>
      </c>
      <c r="E361" s="151" t="str">
        <f>Spieltag!C348</f>
        <v>Mittelfeld</v>
      </c>
      <c r="F361" s="152" t="s">
        <v>77</v>
      </c>
      <c r="G361" s="153"/>
      <c r="H361" s="154">
        <f t="shared" si="992"/>
        <v>0</v>
      </c>
      <c r="I361" s="153"/>
      <c r="J361" s="154">
        <f t="shared" si="993"/>
        <v>0</v>
      </c>
      <c r="K361" s="153"/>
      <c r="L361" s="154">
        <f t="shared" si="994"/>
        <v>0</v>
      </c>
      <c r="M361" s="153"/>
      <c r="N361" s="154">
        <f t="shared" si="995"/>
        <v>0</v>
      </c>
      <c r="O361" s="155">
        <f t="shared" si="952"/>
        <v>0</v>
      </c>
      <c r="P361" s="155">
        <f t="shared" si="953"/>
        <v>10</v>
      </c>
      <c r="Q361" s="155">
        <f t="shared" si="991"/>
        <v>-20</v>
      </c>
      <c r="R361" s="153"/>
      <c r="S361" s="154">
        <f t="shared" si="996"/>
        <v>0</v>
      </c>
      <c r="T361" s="153"/>
      <c r="U361" s="154">
        <f t="shared" si="997"/>
        <v>0</v>
      </c>
      <c r="V361" s="155">
        <f t="shared" si="998"/>
        <v>0</v>
      </c>
      <c r="W361" s="156">
        <f t="shared" si="999"/>
        <v>0</v>
      </c>
    </row>
    <row r="362" spans="1:23" ht="10.5" customHeight="1" x14ac:dyDescent="0.2">
      <c r="A362" s="11"/>
      <c r="B362" s="150">
        <f>COUNTA(Spieltag!K349:AA349)</f>
        <v>2</v>
      </c>
      <c r="C362" s="166">
        <f>Spieltag!A349</f>
        <v>16</v>
      </c>
      <c r="D362" s="21" t="str">
        <f>Spieltag!B349</f>
        <v>Anton Stach</v>
      </c>
      <c r="E362" s="151" t="str">
        <f>Spieltag!C349</f>
        <v>Mittelfeld</v>
      </c>
      <c r="F362" s="152" t="s">
        <v>77</v>
      </c>
      <c r="G362" s="153" t="s">
        <v>661</v>
      </c>
      <c r="H362" s="154">
        <f t="shared" ref="H362" si="1000">IF(G362="x",10,0)</f>
        <v>10</v>
      </c>
      <c r="I362" s="153"/>
      <c r="J362" s="154">
        <f t="shared" ref="J362" si="1001">IF((I362="x"),-10,0)</f>
        <v>0</v>
      </c>
      <c r="K362" s="153"/>
      <c r="L362" s="154">
        <f t="shared" ref="L362" si="1002">IF((K362="x"),-20,0)</f>
        <v>0</v>
      </c>
      <c r="M362" s="153"/>
      <c r="N362" s="154">
        <f t="shared" ref="N362" si="1003">IF((M362="x"),-30,0)</f>
        <v>0</v>
      </c>
      <c r="O362" s="155">
        <f t="shared" si="952"/>
        <v>0</v>
      </c>
      <c r="P362" s="155">
        <f t="shared" si="953"/>
        <v>10</v>
      </c>
      <c r="Q362" s="155">
        <f t="shared" si="991"/>
        <v>-20</v>
      </c>
      <c r="R362" s="153"/>
      <c r="S362" s="154">
        <f t="shared" ref="S362" si="1004">R362*10</f>
        <v>0</v>
      </c>
      <c r="T362" s="153"/>
      <c r="U362" s="154">
        <f t="shared" ref="U362" si="1005">T362*-15</f>
        <v>0</v>
      </c>
      <c r="V362" s="155">
        <f t="shared" ref="V362" si="1006">IF(AND(R362=2),10,IF(R362=3,30,IF(R362=4,50,IF(R362=5,70,0))))</f>
        <v>0</v>
      </c>
      <c r="W362" s="156">
        <f t="shared" ref="W362" si="1007"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17</v>
      </c>
      <c r="D363" s="21" t="str">
        <f>Spieltag!B350</f>
        <v>Julian Justvan</v>
      </c>
      <c r="E363" s="151" t="str">
        <f>Spieltag!C350</f>
        <v>Mittelfeld</v>
      </c>
      <c r="F363" s="152" t="s">
        <v>77</v>
      </c>
      <c r="G363" s="153"/>
      <c r="H363" s="154">
        <f t="shared" si="992"/>
        <v>0</v>
      </c>
      <c r="I363" s="153"/>
      <c r="J363" s="154">
        <f t="shared" si="993"/>
        <v>0</v>
      </c>
      <c r="K363" s="153"/>
      <c r="L363" s="154">
        <f t="shared" si="994"/>
        <v>0</v>
      </c>
      <c r="M363" s="153"/>
      <c r="N363" s="154">
        <f t="shared" si="995"/>
        <v>0</v>
      </c>
      <c r="O363" s="155">
        <f t="shared" si="952"/>
        <v>0</v>
      </c>
      <c r="P363" s="155">
        <f t="shared" si="953"/>
        <v>10</v>
      </c>
      <c r="Q363" s="155">
        <f t="shared" si="991"/>
        <v>-20</v>
      </c>
      <c r="R363" s="153"/>
      <c r="S363" s="154">
        <f t="shared" si="996"/>
        <v>0</v>
      </c>
      <c r="T363" s="153"/>
      <c r="U363" s="154">
        <f t="shared" si="997"/>
        <v>0</v>
      </c>
      <c r="V363" s="155">
        <f t="shared" si="998"/>
        <v>0</v>
      </c>
      <c r="W363" s="156">
        <f t="shared" si="999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18</v>
      </c>
      <c r="D364" s="21" t="str">
        <f>Spieltag!B351</f>
        <v>Diadie Samassékou (A)</v>
      </c>
      <c r="E364" s="151" t="str">
        <f>Spieltag!C351</f>
        <v>Mittelfeld</v>
      </c>
      <c r="F364" s="152" t="s">
        <v>77</v>
      </c>
      <c r="G364" s="153"/>
      <c r="H364" s="154">
        <f t="shared" si="992"/>
        <v>0</v>
      </c>
      <c r="I364" s="153"/>
      <c r="J364" s="154">
        <f t="shared" si="993"/>
        <v>0</v>
      </c>
      <c r="K364" s="153"/>
      <c r="L364" s="154">
        <f t="shared" si="994"/>
        <v>0</v>
      </c>
      <c r="M364" s="153"/>
      <c r="N364" s="154">
        <f t="shared" si="995"/>
        <v>0</v>
      </c>
      <c r="O364" s="155">
        <f t="shared" si="952"/>
        <v>0</v>
      </c>
      <c r="P364" s="155">
        <f t="shared" si="953"/>
        <v>10</v>
      </c>
      <c r="Q364" s="155">
        <f t="shared" si="991"/>
        <v>-20</v>
      </c>
      <c r="R364" s="153"/>
      <c r="S364" s="154">
        <f t="shared" si="996"/>
        <v>0</v>
      </c>
      <c r="T364" s="153"/>
      <c r="U364" s="154">
        <f t="shared" si="997"/>
        <v>0</v>
      </c>
      <c r="V364" s="155">
        <f t="shared" si="998"/>
        <v>0</v>
      </c>
      <c r="W364" s="156">
        <f t="shared" si="999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20</v>
      </c>
      <c r="D365" s="21" t="str">
        <f>Spieltag!B352</f>
        <v>Finn Ole Becker</v>
      </c>
      <c r="E365" s="151" t="str">
        <f>Spieltag!C352</f>
        <v>Mittelfeld</v>
      </c>
      <c r="F365" s="152" t="s">
        <v>77</v>
      </c>
      <c r="G365" s="153"/>
      <c r="H365" s="154">
        <f t="shared" si="992"/>
        <v>0</v>
      </c>
      <c r="I365" s="153"/>
      <c r="J365" s="154">
        <f t="shared" si="993"/>
        <v>0</v>
      </c>
      <c r="K365" s="153"/>
      <c r="L365" s="154">
        <f t="shared" si="994"/>
        <v>0</v>
      </c>
      <c r="M365" s="153"/>
      <c r="N365" s="154">
        <f t="shared" si="995"/>
        <v>0</v>
      </c>
      <c r="O365" s="155">
        <f t="shared" si="952"/>
        <v>0</v>
      </c>
      <c r="P365" s="155">
        <f t="shared" si="953"/>
        <v>10</v>
      </c>
      <c r="Q365" s="155">
        <f t="shared" si="991"/>
        <v>-20</v>
      </c>
      <c r="R365" s="153"/>
      <c r="S365" s="154">
        <f t="shared" si="996"/>
        <v>0</v>
      </c>
      <c r="T365" s="153"/>
      <c r="U365" s="154">
        <f t="shared" si="997"/>
        <v>0</v>
      </c>
      <c r="V365" s="155">
        <f t="shared" si="998"/>
        <v>0</v>
      </c>
      <c r="W365" s="156">
        <f t="shared" si="999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24</v>
      </c>
      <c r="D366" s="21" t="str">
        <f>Spieltag!B353</f>
        <v>Marco John</v>
      </c>
      <c r="E366" s="151" t="str">
        <f>Spieltag!C353</f>
        <v>Mittelfeld</v>
      </c>
      <c r="F366" s="152" t="s">
        <v>77</v>
      </c>
      <c r="G366" s="153"/>
      <c r="H366" s="154">
        <f t="shared" si="992"/>
        <v>0</v>
      </c>
      <c r="I366" s="153"/>
      <c r="J366" s="154">
        <f t="shared" si="993"/>
        <v>0</v>
      </c>
      <c r="K366" s="153"/>
      <c r="L366" s="154">
        <f t="shared" si="994"/>
        <v>0</v>
      </c>
      <c r="M366" s="153"/>
      <c r="N366" s="154">
        <f t="shared" si="995"/>
        <v>0</v>
      </c>
      <c r="O366" s="155">
        <f t="shared" si="952"/>
        <v>0</v>
      </c>
      <c r="P366" s="155">
        <f t="shared" si="953"/>
        <v>10</v>
      </c>
      <c r="Q366" s="155">
        <f t="shared" si="991"/>
        <v>-20</v>
      </c>
      <c r="R366" s="153"/>
      <c r="S366" s="154">
        <f t="shared" si="996"/>
        <v>0</v>
      </c>
      <c r="T366" s="153"/>
      <c r="U366" s="154">
        <f t="shared" si="997"/>
        <v>0</v>
      </c>
      <c r="V366" s="155">
        <f t="shared" si="998"/>
        <v>0</v>
      </c>
      <c r="W366" s="156">
        <f t="shared" si="999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31</v>
      </c>
      <c r="D367" s="21" t="str">
        <f>Spieltag!B354</f>
        <v>Bambasé Conté</v>
      </c>
      <c r="E367" s="151" t="str">
        <f>Spieltag!C354</f>
        <v>Mittelfeld</v>
      </c>
      <c r="F367" s="152" t="s">
        <v>77</v>
      </c>
      <c r="G367" s="153"/>
      <c r="H367" s="154">
        <f t="shared" ref="H367" si="1008">IF(G367="x",10,0)</f>
        <v>0</v>
      </c>
      <c r="I367" s="153"/>
      <c r="J367" s="154">
        <f t="shared" ref="J367" si="1009">IF((I367="x"),-10,0)</f>
        <v>0</v>
      </c>
      <c r="K367" s="153"/>
      <c r="L367" s="154">
        <f t="shared" ref="L367" si="1010">IF((K367="x"),-20,0)</f>
        <v>0</v>
      </c>
      <c r="M367" s="153"/>
      <c r="N367" s="154">
        <f t="shared" ref="N367" si="1011">IF((M367="x"),-30,0)</f>
        <v>0</v>
      </c>
      <c r="O367" s="155">
        <f t="shared" si="952"/>
        <v>0</v>
      </c>
      <c r="P367" s="155">
        <f t="shared" si="953"/>
        <v>10</v>
      </c>
      <c r="Q367" s="155">
        <f t="shared" si="991"/>
        <v>-20</v>
      </c>
      <c r="R367" s="153"/>
      <c r="S367" s="154">
        <f t="shared" ref="S367" si="1012">R367*10</f>
        <v>0</v>
      </c>
      <c r="T367" s="153"/>
      <c r="U367" s="154">
        <f t="shared" ref="U367" si="1013">T367*-15</f>
        <v>0</v>
      </c>
      <c r="V367" s="155">
        <f t="shared" ref="V367" si="1014">IF(AND(R367=2),10,IF(R367=3,30,IF(R367=4,50,IF(R367=5,70,0))))</f>
        <v>0</v>
      </c>
      <c r="W367" s="156">
        <f t="shared" ref="W367" si="1015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39</v>
      </c>
      <c r="D368" s="21" t="str">
        <f>Spieltag!B355</f>
        <v>Tom Bischof</v>
      </c>
      <c r="E368" s="151" t="str">
        <f>Spieltag!C355</f>
        <v>Mittelfeld</v>
      </c>
      <c r="F368" s="152" t="s">
        <v>77</v>
      </c>
      <c r="G368" s="153"/>
      <c r="H368" s="154">
        <f t="shared" si="992"/>
        <v>0</v>
      </c>
      <c r="I368" s="153"/>
      <c r="J368" s="154">
        <f t="shared" si="993"/>
        <v>0</v>
      </c>
      <c r="K368" s="153"/>
      <c r="L368" s="154">
        <f t="shared" si="994"/>
        <v>0</v>
      </c>
      <c r="M368" s="153"/>
      <c r="N368" s="154">
        <f t="shared" si="995"/>
        <v>0</v>
      </c>
      <c r="O368" s="155">
        <f t="shared" si="952"/>
        <v>0</v>
      </c>
      <c r="P368" s="155">
        <f t="shared" si="953"/>
        <v>10</v>
      </c>
      <c r="Q368" s="155">
        <f t="shared" si="991"/>
        <v>-20</v>
      </c>
      <c r="R368" s="153"/>
      <c r="S368" s="154">
        <f t="shared" si="996"/>
        <v>0</v>
      </c>
      <c r="T368" s="153"/>
      <c r="U368" s="154">
        <f t="shared" si="997"/>
        <v>0</v>
      </c>
      <c r="V368" s="155">
        <f t="shared" si="998"/>
        <v>0</v>
      </c>
      <c r="W368" s="156">
        <f t="shared" si="999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40</v>
      </c>
      <c r="D369" s="21" t="str">
        <f>Spieltag!B356</f>
        <v>Umut Tohumcu</v>
      </c>
      <c r="E369" s="151" t="str">
        <f>Spieltag!C356</f>
        <v>Mittelfeld</v>
      </c>
      <c r="F369" s="152" t="s">
        <v>77</v>
      </c>
      <c r="G369" s="153"/>
      <c r="H369" s="154">
        <f t="shared" si="992"/>
        <v>0</v>
      </c>
      <c r="I369" s="153"/>
      <c r="J369" s="154">
        <f t="shared" si="993"/>
        <v>0</v>
      </c>
      <c r="K369" s="153"/>
      <c r="L369" s="154">
        <f t="shared" si="994"/>
        <v>0</v>
      </c>
      <c r="M369" s="153"/>
      <c r="N369" s="154">
        <f t="shared" si="995"/>
        <v>0</v>
      </c>
      <c r="O369" s="155">
        <f t="shared" si="952"/>
        <v>0</v>
      </c>
      <c r="P369" s="155">
        <f t="shared" si="953"/>
        <v>10</v>
      </c>
      <c r="Q369" s="155">
        <f t="shared" si="991"/>
        <v>-20</v>
      </c>
      <c r="R369" s="153"/>
      <c r="S369" s="154">
        <f t="shared" si="996"/>
        <v>0</v>
      </c>
      <c r="T369" s="153"/>
      <c r="U369" s="154">
        <f t="shared" si="997"/>
        <v>0</v>
      </c>
      <c r="V369" s="155">
        <f t="shared" ref="V369" si="1016">IF(AND(R369=2),10,IF(R369=3,30,IF(R369=4,50,IF(R369=5,70,0))))</f>
        <v>0</v>
      </c>
      <c r="W369" s="156">
        <f t="shared" ref="W369" si="1017"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7</v>
      </c>
      <c r="D370" s="21" t="str">
        <f>Spieltag!B357</f>
        <v>Mërgim Berisha</v>
      </c>
      <c r="E370" s="151" t="str">
        <f>Spieltag!C357</f>
        <v>Sturm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952"/>
        <v>0</v>
      </c>
      <c r="P370" s="155">
        <f t="shared" si="953"/>
        <v>10</v>
      </c>
      <c r="Q370" s="155">
        <f t="shared" ref="Q370:Q376" si="1018">IF(($W$3&lt;&gt;0),$W$3*-10,5)</f>
        <v>-20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9</v>
      </c>
      <c r="D371" s="21" t="str">
        <f>Spieltag!B358</f>
        <v>Ihlas Bebou (A)</v>
      </c>
      <c r="E371" s="151" t="str">
        <f>Spieltag!C358</f>
        <v>Sturm</v>
      </c>
      <c r="F371" s="152" t="s">
        <v>77</v>
      </c>
      <c r="G371" s="153"/>
      <c r="H371" s="154">
        <f>IF(G371="x",10,0)</f>
        <v>0</v>
      </c>
      <c r="I371" s="153"/>
      <c r="J371" s="154">
        <f>IF((I371="x"),-10,0)</f>
        <v>0</v>
      </c>
      <c r="K371" s="153"/>
      <c r="L371" s="154">
        <f>IF((K371="x"),-20,0)</f>
        <v>0</v>
      </c>
      <c r="M371" s="153"/>
      <c r="N371" s="154">
        <f>IF((M371="x"),-30,0)</f>
        <v>0</v>
      </c>
      <c r="O371" s="155">
        <f t="shared" si="952"/>
        <v>0</v>
      </c>
      <c r="P371" s="155">
        <f t="shared" si="953"/>
        <v>10</v>
      </c>
      <c r="Q371" s="155">
        <f t="shared" si="1018"/>
        <v>-20</v>
      </c>
      <c r="R371" s="153"/>
      <c r="S371" s="154">
        <f>R371*10</f>
        <v>0</v>
      </c>
      <c r="T371" s="153"/>
      <c r="U371" s="154">
        <f>T371*-15</f>
        <v>0</v>
      </c>
      <c r="V371" s="155">
        <f>IF(AND(R371=2),10,IF(R371=3,30,IF(R371=4,50,IF(R371=5,70,0))))</f>
        <v>0</v>
      </c>
      <c r="W371" s="156">
        <f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10</v>
      </c>
      <c r="D372" s="21" t="str">
        <f>Spieltag!B359</f>
        <v>Wout Weghorst (A)</v>
      </c>
      <c r="E372" s="151" t="str">
        <f>Spieltag!C359</f>
        <v>Sturm</v>
      </c>
      <c r="F372" s="152" t="s">
        <v>77</v>
      </c>
      <c r="G372" s="153"/>
      <c r="H372" s="154">
        <f t="shared" ref="H372:H376" si="1019">IF(G372="x",10,0)</f>
        <v>0</v>
      </c>
      <c r="I372" s="153"/>
      <c r="J372" s="154">
        <f t="shared" ref="J372:J376" si="1020">IF((I372="x"),-10,0)</f>
        <v>0</v>
      </c>
      <c r="K372" s="153"/>
      <c r="L372" s="154">
        <f t="shared" ref="L372:L376" si="1021">IF((K372="x"),-20,0)</f>
        <v>0</v>
      </c>
      <c r="M372" s="153"/>
      <c r="N372" s="154">
        <f t="shared" ref="N372:N376" si="1022">IF((M372="x"),-30,0)</f>
        <v>0</v>
      </c>
      <c r="O372" s="155">
        <f t="shared" si="952"/>
        <v>0</v>
      </c>
      <c r="P372" s="155">
        <f t="shared" si="953"/>
        <v>10</v>
      </c>
      <c r="Q372" s="155">
        <f t="shared" si="1018"/>
        <v>-20</v>
      </c>
      <c r="R372" s="153"/>
      <c r="S372" s="154">
        <f t="shared" ref="S372:S376" si="1023">R372*10</f>
        <v>0</v>
      </c>
      <c r="T372" s="153"/>
      <c r="U372" s="154">
        <f t="shared" ref="U372:U376" si="1024">T372*-15</f>
        <v>0</v>
      </c>
      <c r="V372" s="155">
        <f t="shared" ref="V372:V376" si="1025">IF(AND(R372=2),10,IF(R372=3,30,IF(R372=4,50,IF(R372=5,70,0))))</f>
        <v>0</v>
      </c>
      <c r="W372" s="156">
        <f t="shared" ref="W372:W376" si="1026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14</v>
      </c>
      <c r="D373" s="21" t="str">
        <f>Spieltag!B360</f>
        <v>Maximilian Beier</v>
      </c>
      <c r="E373" s="151" t="str">
        <f>Spieltag!C360</f>
        <v>Sturm</v>
      </c>
      <c r="F373" s="152" t="s">
        <v>77</v>
      </c>
      <c r="G373" s="153"/>
      <c r="H373" s="154">
        <f t="shared" si="1019"/>
        <v>0</v>
      </c>
      <c r="I373" s="153"/>
      <c r="J373" s="154">
        <f t="shared" si="1020"/>
        <v>0</v>
      </c>
      <c r="K373" s="153"/>
      <c r="L373" s="154">
        <f t="shared" si="1021"/>
        <v>0</v>
      </c>
      <c r="M373" s="153"/>
      <c r="N373" s="154">
        <f t="shared" si="1022"/>
        <v>0</v>
      </c>
      <c r="O373" s="155">
        <f t="shared" si="952"/>
        <v>0</v>
      </c>
      <c r="P373" s="155">
        <f t="shared" si="953"/>
        <v>10</v>
      </c>
      <c r="Q373" s="155">
        <f t="shared" si="1018"/>
        <v>-20</v>
      </c>
      <c r="R373" s="153"/>
      <c r="S373" s="154">
        <f t="shared" si="1023"/>
        <v>0</v>
      </c>
      <c r="T373" s="153"/>
      <c r="U373" s="154">
        <f t="shared" si="1024"/>
        <v>0</v>
      </c>
      <c r="V373" s="155">
        <f t="shared" si="1025"/>
        <v>0</v>
      </c>
      <c r="W373" s="156">
        <f t="shared" si="1026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21</v>
      </c>
      <c r="D374" s="21" t="str">
        <f>Spieltag!B361</f>
        <v>Marius Bülter</v>
      </c>
      <c r="E374" s="151" t="str">
        <f>Spieltag!C361</f>
        <v>Sturm</v>
      </c>
      <c r="F374" s="152" t="s">
        <v>77</v>
      </c>
      <c r="G374" s="153"/>
      <c r="H374" s="154">
        <f t="shared" ref="H374" si="1027">IF(G374="x",10,0)</f>
        <v>0</v>
      </c>
      <c r="I374" s="153"/>
      <c r="J374" s="154">
        <f t="shared" ref="J374" si="1028">IF((I374="x"),-10,0)</f>
        <v>0</v>
      </c>
      <c r="K374" s="153"/>
      <c r="L374" s="154">
        <f t="shared" ref="L374" si="1029">IF((K374="x"),-20,0)</f>
        <v>0</v>
      </c>
      <c r="M374" s="153"/>
      <c r="N374" s="154">
        <f t="shared" ref="N374" si="1030">IF((M374="x"),-30,0)</f>
        <v>0</v>
      </c>
      <c r="O374" s="155">
        <f t="shared" si="952"/>
        <v>0</v>
      </c>
      <c r="P374" s="155">
        <f t="shared" si="953"/>
        <v>10</v>
      </c>
      <c r="Q374" s="155">
        <f t="shared" si="1018"/>
        <v>-20</v>
      </c>
      <c r="R374" s="153"/>
      <c r="S374" s="154">
        <f t="shared" ref="S374" si="1031">R374*10</f>
        <v>0</v>
      </c>
      <c r="T374" s="153"/>
      <c r="U374" s="154">
        <f t="shared" ref="U374" si="1032">T374*-15</f>
        <v>0</v>
      </c>
      <c r="V374" s="155">
        <f t="shared" ref="V374" si="1033">IF(AND(R374=2),10,IF(R374=3,30,IF(R374=4,50,IF(R374=5,70,0))))</f>
        <v>0</v>
      </c>
      <c r="W374" s="156">
        <f t="shared" ref="W374" si="1034">IF(G374="x",H374+J374+L374+N374+O374+P374+Q374+S374+U374+V374,0)</f>
        <v>0</v>
      </c>
    </row>
    <row r="375" spans="1:23" ht="10.5" customHeight="1" x14ac:dyDescent="0.2">
      <c r="A375" s="11"/>
      <c r="B375" s="150">
        <f>COUNTA(Spieltag!K362:AA362)</f>
        <v>1</v>
      </c>
      <c r="C375" s="166">
        <f>Spieltag!A362</f>
        <v>27</v>
      </c>
      <c r="D375" s="21" t="str">
        <f>Spieltag!B362</f>
        <v>Andrej Kramarić (A)</v>
      </c>
      <c r="E375" s="151" t="str">
        <f>Spieltag!C362</f>
        <v>Sturm</v>
      </c>
      <c r="F375" s="152" t="s">
        <v>77</v>
      </c>
      <c r="G375" s="153" t="s">
        <v>661</v>
      </c>
      <c r="H375" s="154">
        <f t="shared" si="1019"/>
        <v>10</v>
      </c>
      <c r="I375" s="153"/>
      <c r="J375" s="154">
        <f t="shared" si="1020"/>
        <v>0</v>
      </c>
      <c r="K375" s="153"/>
      <c r="L375" s="154">
        <f t="shared" si="1021"/>
        <v>0</v>
      </c>
      <c r="M375" s="153"/>
      <c r="N375" s="154">
        <f t="shared" si="1022"/>
        <v>0</v>
      </c>
      <c r="O375" s="155">
        <f t="shared" si="952"/>
        <v>0</v>
      </c>
      <c r="P375" s="155">
        <f t="shared" si="953"/>
        <v>10</v>
      </c>
      <c r="Q375" s="155">
        <f t="shared" si="1018"/>
        <v>-20</v>
      </c>
      <c r="R375" s="153"/>
      <c r="S375" s="154">
        <f t="shared" si="1023"/>
        <v>0</v>
      </c>
      <c r="T375" s="153"/>
      <c r="U375" s="154">
        <f t="shared" si="1024"/>
        <v>0</v>
      </c>
      <c r="V375" s="155">
        <f t="shared" si="1025"/>
        <v>0</v>
      </c>
      <c r="W375" s="156">
        <f t="shared" si="1026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29</v>
      </c>
      <c r="D376" s="21" t="str">
        <f>Spieltag!B363</f>
        <v>Robert Skov (A)</v>
      </c>
      <c r="E376" s="151" t="str">
        <f>Spieltag!C363</f>
        <v>Sturm</v>
      </c>
      <c r="F376" s="152" t="s">
        <v>77</v>
      </c>
      <c r="G376" s="153"/>
      <c r="H376" s="154">
        <f t="shared" si="1019"/>
        <v>0</v>
      </c>
      <c r="I376" s="153"/>
      <c r="J376" s="154">
        <f t="shared" si="1020"/>
        <v>0</v>
      </c>
      <c r="K376" s="153"/>
      <c r="L376" s="154">
        <f t="shared" si="1021"/>
        <v>0</v>
      </c>
      <c r="M376" s="153"/>
      <c r="N376" s="154">
        <f t="shared" si="1022"/>
        <v>0</v>
      </c>
      <c r="O376" s="155">
        <f t="shared" si="952"/>
        <v>0</v>
      </c>
      <c r="P376" s="155">
        <f t="shared" si="953"/>
        <v>10</v>
      </c>
      <c r="Q376" s="155">
        <f t="shared" si="1018"/>
        <v>-20</v>
      </c>
      <c r="R376" s="153"/>
      <c r="S376" s="154">
        <f t="shared" si="1023"/>
        <v>0</v>
      </c>
      <c r="T376" s="153"/>
      <c r="U376" s="154">
        <f t="shared" si="1024"/>
        <v>0</v>
      </c>
      <c r="V376" s="155">
        <f t="shared" si="1025"/>
        <v>0</v>
      </c>
      <c r="W376" s="156">
        <f t="shared" si="1026"/>
        <v>0</v>
      </c>
    </row>
    <row r="377" spans="1:23" s="144" customFormat="1" ht="17.25" hidden="1" thickBot="1" x14ac:dyDescent="0.25">
      <c r="A377" s="142"/>
      <c r="B377" s="143">
        <f>SUM(B378:B401)</f>
        <v>0</v>
      </c>
      <c r="C377" s="158"/>
      <c r="D377" s="234" t="s">
        <v>329</v>
      </c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5"/>
    </row>
    <row r="378" spans="1:23" ht="10.5" hidden="1" customHeight="1" x14ac:dyDescent="0.2">
      <c r="A378" s="11"/>
      <c r="B378" s="149">
        <f>COUNTA(Spieltag!K365:AA365)</f>
        <v>0</v>
      </c>
      <c r="C378" s="166">
        <f>Spieltag!A365</f>
        <v>1</v>
      </c>
      <c r="D378" s="21" t="str">
        <f>Spieltag!B365</f>
        <v>Jiri Pavlenka (A)</v>
      </c>
      <c r="E378" s="12" t="str">
        <f>Spieltag!C365</f>
        <v>Torwart</v>
      </c>
      <c r="F378" s="13" t="s">
        <v>328</v>
      </c>
      <c r="G378" s="14"/>
      <c r="H378" s="15">
        <f>IF(G378="x",10,0)</f>
        <v>0</v>
      </c>
      <c r="I378" s="14"/>
      <c r="J378" s="15">
        <f>IF((I378="x"),-10,0)</f>
        <v>0</v>
      </c>
      <c r="K378" s="14"/>
      <c r="L378" s="15">
        <f>IF((K378="x"),-20,0)</f>
        <v>0</v>
      </c>
      <c r="M378" s="14"/>
      <c r="N378" s="15">
        <f>IF((M378="x"),-30,0)</f>
        <v>0</v>
      </c>
      <c r="O378" s="16">
        <f>IF(AND($P$4&gt;$Q$4),20,IF($P$4=$Q$4,10,0))</f>
        <v>0</v>
      </c>
      <c r="P378" s="16">
        <f>IF(($P$4&lt;&gt;0),$P$4*10,-5)</f>
        <v>-5</v>
      </c>
      <c r="Q378" s="16">
        <f>IF(($Q$4&lt;&gt;0),$Q$4*-10,20)</f>
        <v>-20</v>
      </c>
      <c r="R378" s="14"/>
      <c r="S378" s="15">
        <f>R378*20</f>
        <v>0</v>
      </c>
      <c r="T378" s="14"/>
      <c r="U378" s="15">
        <f>T378*-15</f>
        <v>0</v>
      </c>
      <c r="V378" s="16">
        <f>IF(AND(R378=2),10,IF(R378=3,30,IF(R378=4,50,IF(R378=5,70,0))))</f>
        <v>0</v>
      </c>
      <c r="W378" s="17">
        <f>IF(G378="x",H378+J378+L378+N378+O378+P378+Q378+S378+U378+V378,0)</f>
        <v>0</v>
      </c>
    </row>
    <row r="379" spans="1:23" ht="10.5" hidden="1" customHeight="1" x14ac:dyDescent="0.2">
      <c r="A379" s="11"/>
      <c r="B379" s="149">
        <f>COUNTA(Spieltag!K366:AA366)</f>
        <v>0</v>
      </c>
      <c r="C379" s="166">
        <f>Spieltag!A366</f>
        <v>30</v>
      </c>
      <c r="D379" s="21" t="str">
        <f>Spieltag!B366</f>
        <v>Michael Zetterer</v>
      </c>
      <c r="E379" s="12" t="str">
        <f>Spieltag!C366</f>
        <v>Torwart</v>
      </c>
      <c r="F379" s="13" t="s">
        <v>328</v>
      </c>
      <c r="G379" s="14"/>
      <c r="H379" s="15">
        <f t="shared" ref="H379:H381" si="1035">IF(G379="x",10,0)</f>
        <v>0</v>
      </c>
      <c r="I379" s="14"/>
      <c r="J379" s="15">
        <f t="shared" ref="J379:J381" si="1036">IF((I379="x"),-10,0)</f>
        <v>0</v>
      </c>
      <c r="K379" s="14"/>
      <c r="L379" s="15">
        <f t="shared" ref="L379:L381" si="1037">IF((K379="x"),-20,0)</f>
        <v>0</v>
      </c>
      <c r="M379" s="14"/>
      <c r="N379" s="15">
        <f t="shared" ref="N379:N381" si="1038">IF((M379="x"),-30,0)</f>
        <v>0</v>
      </c>
      <c r="O379" s="16">
        <f t="shared" ref="O379:O380" si="1039">IF(AND($P$4&gt;$Q$4),20,IF($P$4=$Q$4,10,0))</f>
        <v>0</v>
      </c>
      <c r="P379" s="16">
        <f t="shared" ref="P379:P380" si="1040">IF(($P$4&lt;&gt;0),$P$4*10,-5)</f>
        <v>-5</v>
      </c>
      <c r="Q379" s="16">
        <f t="shared" ref="Q379:Q380" si="1041">IF(($Q$4&lt;&gt;0),$Q$4*-10,20)</f>
        <v>-20</v>
      </c>
      <c r="R379" s="14"/>
      <c r="S379" s="15">
        <f t="shared" ref="S379:S380" si="1042">R379*20</f>
        <v>0</v>
      </c>
      <c r="T379" s="14"/>
      <c r="U379" s="15">
        <f t="shared" ref="U379:U381" si="1043">T379*-15</f>
        <v>0</v>
      </c>
      <c r="V379" s="16">
        <f t="shared" ref="V379:V381" si="1044">IF(AND(R379=2),10,IF(R379=3,30,IF(R379=4,50,IF(R379=5,70,0))))</f>
        <v>0</v>
      </c>
      <c r="W379" s="17">
        <f t="shared" ref="W379:W381" si="1045">IF(G379="x",H379+J379+L379+N379+O379+P379+Q379+S379+U379+V379,0)</f>
        <v>0</v>
      </c>
    </row>
    <row r="380" spans="1:23" ht="10.5" hidden="1" customHeight="1" x14ac:dyDescent="0.2">
      <c r="A380" s="11"/>
      <c r="B380" s="149">
        <f>COUNTA(Spieltag!K367:AA367)</f>
        <v>0</v>
      </c>
      <c r="C380" s="166">
        <f>Spieltag!A367</f>
        <v>38</v>
      </c>
      <c r="D380" s="21" t="str">
        <f>Spieltag!B367</f>
        <v>Eduardo dos Santos Haesler</v>
      </c>
      <c r="E380" s="12" t="str">
        <f>Spieltag!C367</f>
        <v>Torwart</v>
      </c>
      <c r="F380" s="13" t="s">
        <v>328</v>
      </c>
      <c r="G380" s="14"/>
      <c r="H380" s="15">
        <f t="shared" si="1035"/>
        <v>0</v>
      </c>
      <c r="I380" s="14"/>
      <c r="J380" s="15">
        <f t="shared" si="1036"/>
        <v>0</v>
      </c>
      <c r="K380" s="14"/>
      <c r="L380" s="15">
        <f t="shared" si="1037"/>
        <v>0</v>
      </c>
      <c r="M380" s="14"/>
      <c r="N380" s="15">
        <f t="shared" si="1038"/>
        <v>0</v>
      </c>
      <c r="O380" s="16">
        <f t="shared" si="1039"/>
        <v>0</v>
      </c>
      <c r="P380" s="16">
        <f t="shared" si="1040"/>
        <v>-5</v>
      </c>
      <c r="Q380" s="16">
        <f t="shared" si="1041"/>
        <v>-20</v>
      </c>
      <c r="R380" s="14"/>
      <c r="S380" s="15">
        <f t="shared" si="1042"/>
        <v>0</v>
      </c>
      <c r="T380" s="14"/>
      <c r="U380" s="15">
        <f t="shared" si="1043"/>
        <v>0</v>
      </c>
      <c r="V380" s="16">
        <f t="shared" si="1044"/>
        <v>0</v>
      </c>
      <c r="W380" s="17">
        <f t="shared" si="1045"/>
        <v>0</v>
      </c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2</v>
      </c>
      <c r="D381" s="21" t="str">
        <f>Spieltag!B368</f>
        <v>Olivier Deman (A)</v>
      </c>
      <c r="E381" s="12" t="str">
        <f>Spieltag!C368</f>
        <v>Abwehr</v>
      </c>
      <c r="F381" s="13" t="s">
        <v>328</v>
      </c>
      <c r="G381" s="14"/>
      <c r="H381" s="15">
        <f t="shared" si="1035"/>
        <v>0</v>
      </c>
      <c r="I381" s="14"/>
      <c r="J381" s="15">
        <f t="shared" si="1036"/>
        <v>0</v>
      </c>
      <c r="K381" s="14"/>
      <c r="L381" s="15">
        <f t="shared" si="1037"/>
        <v>0</v>
      </c>
      <c r="M381" s="14"/>
      <c r="N381" s="15">
        <f t="shared" si="1038"/>
        <v>0</v>
      </c>
      <c r="O381" s="16">
        <f t="shared" ref="O381:O389" si="1046">IF(AND($P$4&gt;$Q$4),20,IF($P$4=$Q$4,10,0))</f>
        <v>0</v>
      </c>
      <c r="P381" s="16">
        <f t="shared" ref="P381:P389" si="1047">IF(($P$4&lt;&gt;0),$P$4*10,-5)</f>
        <v>-5</v>
      </c>
      <c r="Q381" s="16">
        <f t="shared" ref="Q381:Q389" si="1048">IF(($Q$4&lt;&gt;0),$Q$4*-10,15)</f>
        <v>-20</v>
      </c>
      <c r="R381" s="14"/>
      <c r="S381" s="15">
        <f t="shared" ref="S381" si="1049">R381*15</f>
        <v>0</v>
      </c>
      <c r="T381" s="14"/>
      <c r="U381" s="15">
        <f t="shared" si="1043"/>
        <v>0</v>
      </c>
      <c r="V381" s="16">
        <f t="shared" si="1044"/>
        <v>0</v>
      </c>
      <c r="W381" s="17">
        <f t="shared" si="1045"/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</v>
      </c>
      <c r="D382" s="21" t="str">
        <f>Spieltag!B369</f>
        <v>Anthony Jung</v>
      </c>
      <c r="E382" s="12" t="str">
        <f>Spieltag!C369</f>
        <v>Abwehr</v>
      </c>
      <c r="F382" s="13" t="s">
        <v>328</v>
      </c>
      <c r="G382" s="14"/>
      <c r="H382" s="15">
        <f t="shared" ref="H382" si="1050">IF(G382="x",10,0)</f>
        <v>0</v>
      </c>
      <c r="I382" s="14"/>
      <c r="J382" s="15">
        <f t="shared" ref="J382" si="1051">IF((I382="x"),-10,0)</f>
        <v>0</v>
      </c>
      <c r="K382" s="14"/>
      <c r="L382" s="15">
        <f t="shared" ref="L382" si="1052">IF((K382="x"),-20,0)</f>
        <v>0</v>
      </c>
      <c r="M382" s="14"/>
      <c r="N382" s="15">
        <f t="shared" ref="N382" si="1053">IF((M382="x"),-30,0)</f>
        <v>0</v>
      </c>
      <c r="O382" s="16">
        <f t="shared" si="1046"/>
        <v>0</v>
      </c>
      <c r="P382" s="16">
        <f t="shared" si="1047"/>
        <v>-5</v>
      </c>
      <c r="Q382" s="16">
        <f t="shared" si="1048"/>
        <v>-20</v>
      </c>
      <c r="R382" s="14"/>
      <c r="S382" s="15">
        <f t="shared" ref="S382" si="1054">R382*15</f>
        <v>0</v>
      </c>
      <c r="T382" s="14"/>
      <c r="U382" s="15">
        <f t="shared" ref="U382" si="1055">T382*-15</f>
        <v>0</v>
      </c>
      <c r="V382" s="16">
        <f t="shared" ref="V382" si="1056">IF(AND(R382=2),10,IF(R382=3,30,IF(R382=4,50,IF(R382=5,70,0))))</f>
        <v>0</v>
      </c>
      <c r="W382" s="17">
        <f t="shared" ref="W382" si="1057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4</v>
      </c>
      <c r="D383" s="21" t="str">
        <f>Spieltag!B370</f>
        <v>Niklas Stark</v>
      </c>
      <c r="E383" s="12" t="str">
        <f>Spieltag!C370</f>
        <v>Abwehr</v>
      </c>
      <c r="F383" s="13" t="s">
        <v>328</v>
      </c>
      <c r="G383" s="14"/>
      <c r="H383" s="15">
        <f t="shared" ref="H383:H389" si="1058">IF(G383="x",10,0)</f>
        <v>0</v>
      </c>
      <c r="I383" s="14"/>
      <c r="J383" s="15">
        <f t="shared" ref="J383:J389" si="1059">IF((I383="x"),-10,0)</f>
        <v>0</v>
      </c>
      <c r="K383" s="14"/>
      <c r="L383" s="15">
        <f t="shared" ref="L383:L389" si="1060">IF((K383="x"),-20,0)</f>
        <v>0</v>
      </c>
      <c r="M383" s="14"/>
      <c r="N383" s="15">
        <f t="shared" ref="N383:N389" si="1061">IF((M383="x"),-30,0)</f>
        <v>0</v>
      </c>
      <c r="O383" s="16">
        <f t="shared" si="1046"/>
        <v>0</v>
      </c>
      <c r="P383" s="16">
        <f t="shared" si="1047"/>
        <v>-5</v>
      </c>
      <c r="Q383" s="16">
        <f t="shared" si="1048"/>
        <v>-20</v>
      </c>
      <c r="R383" s="14"/>
      <c r="S383" s="15">
        <f t="shared" ref="S383:S389" si="1062">R383*15</f>
        <v>0</v>
      </c>
      <c r="T383" s="14"/>
      <c r="U383" s="15">
        <f t="shared" ref="U383:U389" si="1063">T383*-15</f>
        <v>0</v>
      </c>
      <c r="V383" s="16">
        <f t="shared" ref="V383:V389" si="1064">IF(AND(R383=2),10,IF(R383=3,30,IF(R383=4,50,IF(R383=5,70,0))))</f>
        <v>0</v>
      </c>
      <c r="W383" s="17">
        <f t="shared" ref="W383:W389" si="1065"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5</v>
      </c>
      <c r="D384" s="21" t="str">
        <f>Spieltag!B371</f>
        <v>Amos Pieper</v>
      </c>
      <c r="E384" s="12" t="str">
        <f>Spieltag!C371</f>
        <v>Abwehr</v>
      </c>
      <c r="F384" s="13" t="s">
        <v>328</v>
      </c>
      <c r="G384" s="14"/>
      <c r="H384" s="15">
        <f t="shared" si="1058"/>
        <v>0</v>
      </c>
      <c r="I384" s="14"/>
      <c r="J384" s="15">
        <f t="shared" si="1059"/>
        <v>0</v>
      </c>
      <c r="K384" s="14"/>
      <c r="L384" s="15">
        <f t="shared" si="1060"/>
        <v>0</v>
      </c>
      <c r="M384" s="14"/>
      <c r="N384" s="15">
        <f t="shared" si="1061"/>
        <v>0</v>
      </c>
      <c r="O384" s="16">
        <f t="shared" si="1046"/>
        <v>0</v>
      </c>
      <c r="P384" s="16">
        <f t="shared" si="1047"/>
        <v>-5</v>
      </c>
      <c r="Q384" s="16">
        <f t="shared" si="1048"/>
        <v>-20</v>
      </c>
      <c r="R384" s="14"/>
      <c r="S384" s="15">
        <f t="shared" si="1062"/>
        <v>0</v>
      </c>
      <c r="T384" s="14"/>
      <c r="U384" s="15">
        <f t="shared" si="1063"/>
        <v>0</v>
      </c>
      <c r="V384" s="16">
        <f t="shared" si="1064"/>
        <v>0</v>
      </c>
      <c r="W384" s="17">
        <f t="shared" si="1065"/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8</v>
      </c>
      <c r="D385" s="21" t="str">
        <f>Spieltag!B372</f>
        <v>Mitchell Weiser</v>
      </c>
      <c r="E385" s="12" t="str">
        <f>Spieltag!C372</f>
        <v>Abwehr</v>
      </c>
      <c r="F385" s="13" t="s">
        <v>328</v>
      </c>
      <c r="G385" s="14"/>
      <c r="H385" s="15">
        <f t="shared" si="1058"/>
        <v>0</v>
      </c>
      <c r="I385" s="14"/>
      <c r="J385" s="15">
        <f t="shared" si="1059"/>
        <v>0</v>
      </c>
      <c r="K385" s="14"/>
      <c r="L385" s="15">
        <f t="shared" si="1060"/>
        <v>0</v>
      </c>
      <c r="M385" s="14"/>
      <c r="N385" s="15">
        <f t="shared" si="1061"/>
        <v>0</v>
      </c>
      <c r="O385" s="16">
        <f t="shared" si="1046"/>
        <v>0</v>
      </c>
      <c r="P385" s="16">
        <f t="shared" si="1047"/>
        <v>-5</v>
      </c>
      <c r="Q385" s="16">
        <f t="shared" si="1048"/>
        <v>-20</v>
      </c>
      <c r="R385" s="14"/>
      <c r="S385" s="15">
        <f t="shared" si="1062"/>
        <v>0</v>
      </c>
      <c r="T385" s="14"/>
      <c r="U385" s="15">
        <f t="shared" si="1063"/>
        <v>0</v>
      </c>
      <c r="V385" s="16">
        <f t="shared" si="1064"/>
        <v>0</v>
      </c>
      <c r="W385" s="17">
        <f t="shared" si="1065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13</v>
      </c>
      <c r="D386" s="21" t="str">
        <f>Spieltag!B373</f>
        <v>Miloš Veljković (A)</v>
      </c>
      <c r="E386" s="12" t="str">
        <f>Spieltag!C373</f>
        <v>Abwehr</v>
      </c>
      <c r="F386" s="13" t="s">
        <v>328</v>
      </c>
      <c r="G386" s="14"/>
      <c r="H386" s="15">
        <f t="shared" si="1058"/>
        <v>0</v>
      </c>
      <c r="I386" s="14"/>
      <c r="J386" s="15">
        <f t="shared" si="1059"/>
        <v>0</v>
      </c>
      <c r="K386" s="14"/>
      <c r="L386" s="15">
        <f t="shared" si="1060"/>
        <v>0</v>
      </c>
      <c r="M386" s="14"/>
      <c r="N386" s="15">
        <f t="shared" si="1061"/>
        <v>0</v>
      </c>
      <c r="O386" s="16">
        <f t="shared" si="1046"/>
        <v>0</v>
      </c>
      <c r="P386" s="16">
        <f t="shared" si="1047"/>
        <v>-5</v>
      </c>
      <c r="Q386" s="16">
        <f t="shared" si="1048"/>
        <v>-20</v>
      </c>
      <c r="R386" s="14"/>
      <c r="S386" s="15">
        <f t="shared" si="1062"/>
        <v>0</v>
      </c>
      <c r="T386" s="14"/>
      <c r="U386" s="15">
        <f t="shared" si="1063"/>
        <v>0</v>
      </c>
      <c r="V386" s="16">
        <f t="shared" si="1064"/>
        <v>0</v>
      </c>
      <c r="W386" s="17">
        <f t="shared" si="1065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27</v>
      </c>
      <c r="D387" s="21" t="str">
        <f>Spieltag!B374</f>
        <v>Felix Agu</v>
      </c>
      <c r="E387" s="12" t="str">
        <f>Spieltag!C374</f>
        <v>Abwehr</v>
      </c>
      <c r="F387" s="13" t="s">
        <v>328</v>
      </c>
      <c r="G387" s="14"/>
      <c r="H387" s="15">
        <f t="shared" si="1058"/>
        <v>0</v>
      </c>
      <c r="I387" s="14"/>
      <c r="J387" s="15">
        <f t="shared" si="1059"/>
        <v>0</v>
      </c>
      <c r="K387" s="14"/>
      <c r="L387" s="15">
        <f t="shared" si="1060"/>
        <v>0</v>
      </c>
      <c r="M387" s="14"/>
      <c r="N387" s="15">
        <f t="shared" si="1061"/>
        <v>0</v>
      </c>
      <c r="O387" s="16">
        <f t="shared" si="1046"/>
        <v>0</v>
      </c>
      <c r="P387" s="16">
        <f t="shared" si="1047"/>
        <v>-5</v>
      </c>
      <c r="Q387" s="16">
        <f t="shared" si="1048"/>
        <v>-20</v>
      </c>
      <c r="R387" s="14"/>
      <c r="S387" s="15">
        <f t="shared" si="1062"/>
        <v>0</v>
      </c>
      <c r="T387" s="14"/>
      <c r="U387" s="15">
        <f t="shared" si="1063"/>
        <v>0</v>
      </c>
      <c r="V387" s="16">
        <f t="shared" si="1064"/>
        <v>0</v>
      </c>
      <c r="W387" s="17">
        <f t="shared" si="1065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32</v>
      </c>
      <c r="D388" s="21" t="str">
        <f>Spieltag!B375</f>
        <v>Marco Friedl (A)</v>
      </c>
      <c r="E388" s="12" t="str">
        <f>Spieltag!C375</f>
        <v>Abwehr</v>
      </c>
      <c r="F388" s="13" t="s">
        <v>328</v>
      </c>
      <c r="G388" s="14"/>
      <c r="H388" s="15">
        <f t="shared" si="1058"/>
        <v>0</v>
      </c>
      <c r="I388" s="14"/>
      <c r="J388" s="15">
        <f t="shared" si="1059"/>
        <v>0</v>
      </c>
      <c r="K388" s="14"/>
      <c r="L388" s="15">
        <f t="shared" si="1060"/>
        <v>0</v>
      </c>
      <c r="M388" s="14"/>
      <c r="N388" s="15">
        <f t="shared" si="1061"/>
        <v>0</v>
      </c>
      <c r="O388" s="16">
        <f t="shared" si="1046"/>
        <v>0</v>
      </c>
      <c r="P388" s="16">
        <f t="shared" si="1047"/>
        <v>-5</v>
      </c>
      <c r="Q388" s="16">
        <f t="shared" si="1048"/>
        <v>-20</v>
      </c>
      <c r="R388" s="14"/>
      <c r="S388" s="15">
        <f t="shared" si="1062"/>
        <v>0</v>
      </c>
      <c r="T388" s="14"/>
      <c r="U388" s="15">
        <f t="shared" si="1063"/>
        <v>0</v>
      </c>
      <c r="V388" s="16">
        <f t="shared" si="1064"/>
        <v>0</v>
      </c>
      <c r="W388" s="17">
        <f t="shared" si="1065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36</v>
      </c>
      <c r="D389" s="21" t="str">
        <f>Spieltag!B376</f>
        <v>Christian Gross</v>
      </c>
      <c r="E389" s="12" t="str">
        <f>Spieltag!C376</f>
        <v>Abwehr</v>
      </c>
      <c r="F389" s="13" t="s">
        <v>328</v>
      </c>
      <c r="G389" s="14"/>
      <c r="H389" s="15">
        <f t="shared" si="1058"/>
        <v>0</v>
      </c>
      <c r="I389" s="14"/>
      <c r="J389" s="15">
        <f t="shared" si="1059"/>
        <v>0</v>
      </c>
      <c r="K389" s="14"/>
      <c r="L389" s="15">
        <f t="shared" si="1060"/>
        <v>0</v>
      </c>
      <c r="M389" s="14"/>
      <c r="N389" s="15">
        <f t="shared" si="1061"/>
        <v>0</v>
      </c>
      <c r="O389" s="16">
        <f t="shared" si="1046"/>
        <v>0</v>
      </c>
      <c r="P389" s="16">
        <f t="shared" si="1047"/>
        <v>-5</v>
      </c>
      <c r="Q389" s="16">
        <f t="shared" si="1048"/>
        <v>-20</v>
      </c>
      <c r="R389" s="14"/>
      <c r="S389" s="15">
        <f t="shared" si="1062"/>
        <v>0</v>
      </c>
      <c r="T389" s="14"/>
      <c r="U389" s="15">
        <f t="shared" si="1063"/>
        <v>0</v>
      </c>
      <c r="V389" s="16">
        <f t="shared" si="1064"/>
        <v>0</v>
      </c>
      <c r="W389" s="17">
        <f t="shared" si="1065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6</v>
      </c>
      <c r="D390" s="21" t="str">
        <f>Spieltag!B377</f>
        <v>Jens Stage (A)</v>
      </c>
      <c r="E390" s="12" t="str">
        <f>Spieltag!C377</f>
        <v>Mittelfeld</v>
      </c>
      <c r="F390" s="13" t="s">
        <v>328</v>
      </c>
      <c r="G390" s="14"/>
      <c r="H390" s="15">
        <f>IF(G390="x",10,0)</f>
        <v>0</v>
      </c>
      <c r="I390" s="14"/>
      <c r="J390" s="15">
        <f>IF((I390="x"),-10,0)</f>
        <v>0</v>
      </c>
      <c r="K390" s="14"/>
      <c r="L390" s="15">
        <f>IF((K390="x"),-20,0)</f>
        <v>0</v>
      </c>
      <c r="M390" s="14"/>
      <c r="N390" s="15">
        <f>IF((M390="x"),-30,0)</f>
        <v>0</v>
      </c>
      <c r="O390" s="16">
        <f t="shared" ref="O390:O401" si="1066">IF(AND($P$4&gt;$Q$4),20,IF($P$4=$Q$4,10,0))</f>
        <v>0</v>
      </c>
      <c r="P390" s="16">
        <f t="shared" ref="P390:P401" si="1067">IF(($P$4&lt;&gt;0),$P$4*10,-5)</f>
        <v>-5</v>
      </c>
      <c r="Q390" s="16">
        <f t="shared" ref="Q390:Q396" si="1068">IF(($Q$4&lt;&gt;0),$Q$4*-10,10)</f>
        <v>-20</v>
      </c>
      <c r="R390" s="14"/>
      <c r="S390" s="15">
        <f>R390*10</f>
        <v>0</v>
      </c>
      <c r="T390" s="14"/>
      <c r="U390" s="15">
        <f>T390*-15</f>
        <v>0</v>
      </c>
      <c r="V390" s="16">
        <f>IF(AND(R390=2),10,IF(R390=3,30,IF(R390=4,50,IF(R390=5,70,0))))</f>
        <v>0</v>
      </c>
      <c r="W390" s="17">
        <f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10</v>
      </c>
      <c r="D391" s="21" t="str">
        <f>Spieltag!B378</f>
        <v>Leonardo Bittencourt</v>
      </c>
      <c r="E391" s="12" t="str">
        <f>Spieltag!C378</f>
        <v>Mittelfeld</v>
      </c>
      <c r="F391" s="13" t="s">
        <v>328</v>
      </c>
      <c r="G391" s="14"/>
      <c r="H391" s="15">
        <f t="shared" ref="H391:H396" si="1069">IF(G391="x",10,0)</f>
        <v>0</v>
      </c>
      <c r="I391" s="14"/>
      <c r="J391" s="15">
        <f t="shared" ref="J391:J396" si="1070">IF((I391="x"),-10,0)</f>
        <v>0</v>
      </c>
      <c r="K391" s="14"/>
      <c r="L391" s="15">
        <f t="shared" ref="L391:L396" si="1071">IF((K391="x"),-20,0)</f>
        <v>0</v>
      </c>
      <c r="M391" s="14"/>
      <c r="N391" s="15">
        <f t="shared" ref="N391:N396" si="1072">IF((M391="x"),-30,0)</f>
        <v>0</v>
      </c>
      <c r="O391" s="16">
        <f t="shared" si="1066"/>
        <v>0</v>
      </c>
      <c r="P391" s="16">
        <f t="shared" si="1067"/>
        <v>-5</v>
      </c>
      <c r="Q391" s="16">
        <f t="shared" si="1068"/>
        <v>-20</v>
      </c>
      <c r="R391" s="14"/>
      <c r="S391" s="15">
        <f t="shared" ref="S391:S396" si="1073">R391*10</f>
        <v>0</v>
      </c>
      <c r="T391" s="14"/>
      <c r="U391" s="15">
        <f t="shared" ref="U391:U396" si="1074">T391*-15</f>
        <v>0</v>
      </c>
      <c r="V391" s="16">
        <f t="shared" ref="V391:V396" si="1075">IF(AND(R391=2),10,IF(R391=3,30,IF(R391=4,50,IF(R391=5,70,0))))</f>
        <v>0</v>
      </c>
      <c r="W391" s="17">
        <f t="shared" ref="W391:W396" si="1076">IF(G391="x",H391+J391+L391+N391+O391+P391+Q391+S391+U391+V391,0)</f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14</v>
      </c>
      <c r="D392" s="21" t="str">
        <f>Spieltag!B379</f>
        <v>Senne Lynen (A)</v>
      </c>
      <c r="E392" s="12" t="str">
        <f>Spieltag!C379</f>
        <v>Mittelfeld</v>
      </c>
      <c r="F392" s="13" t="s">
        <v>328</v>
      </c>
      <c r="G392" s="14"/>
      <c r="H392" s="15">
        <f t="shared" si="1069"/>
        <v>0</v>
      </c>
      <c r="I392" s="14"/>
      <c r="J392" s="15">
        <f t="shared" si="1070"/>
        <v>0</v>
      </c>
      <c r="K392" s="14"/>
      <c r="L392" s="15">
        <f t="shared" si="1071"/>
        <v>0</v>
      </c>
      <c r="M392" s="14"/>
      <c r="N392" s="15">
        <f t="shared" si="1072"/>
        <v>0</v>
      </c>
      <c r="O392" s="16">
        <f t="shared" si="1066"/>
        <v>0</v>
      </c>
      <c r="P392" s="16">
        <f t="shared" si="1067"/>
        <v>-5</v>
      </c>
      <c r="Q392" s="16">
        <f t="shared" si="1068"/>
        <v>-20</v>
      </c>
      <c r="R392" s="14"/>
      <c r="S392" s="15">
        <f t="shared" si="1073"/>
        <v>0</v>
      </c>
      <c r="T392" s="14"/>
      <c r="U392" s="15">
        <f t="shared" si="1074"/>
        <v>0</v>
      </c>
      <c r="V392" s="16">
        <f t="shared" si="1075"/>
        <v>0</v>
      </c>
      <c r="W392" s="17">
        <f t="shared" si="1076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18</v>
      </c>
      <c r="D393" s="21" t="str">
        <f>Spieltag!B380</f>
        <v>Naby Keita (A)</v>
      </c>
      <c r="E393" s="12" t="str">
        <f>Spieltag!C380</f>
        <v>Mittelfeld</v>
      </c>
      <c r="F393" s="13" t="s">
        <v>328</v>
      </c>
      <c r="G393" s="14"/>
      <c r="H393" s="15">
        <f t="shared" si="1069"/>
        <v>0</v>
      </c>
      <c r="I393" s="14"/>
      <c r="J393" s="15">
        <f t="shared" si="1070"/>
        <v>0</v>
      </c>
      <c r="K393" s="14"/>
      <c r="L393" s="15">
        <f t="shared" si="1071"/>
        <v>0</v>
      </c>
      <c r="M393" s="14"/>
      <c r="N393" s="15">
        <f t="shared" si="1072"/>
        <v>0</v>
      </c>
      <c r="O393" s="16">
        <f t="shared" si="1066"/>
        <v>0</v>
      </c>
      <c r="P393" s="16">
        <f t="shared" si="1067"/>
        <v>-5</v>
      </c>
      <c r="Q393" s="16">
        <f t="shared" si="1068"/>
        <v>-20</v>
      </c>
      <c r="R393" s="14"/>
      <c r="S393" s="15">
        <f t="shared" si="1073"/>
        <v>0</v>
      </c>
      <c r="T393" s="14"/>
      <c r="U393" s="15">
        <f t="shared" si="1074"/>
        <v>0</v>
      </c>
      <c r="V393" s="16">
        <f t="shared" si="1075"/>
        <v>0</v>
      </c>
      <c r="W393" s="17">
        <f t="shared" si="1076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20</v>
      </c>
      <c r="D394" s="21" t="str">
        <f>Spieltag!B381</f>
        <v>Romano Schmid (A)</v>
      </c>
      <c r="E394" s="12" t="str">
        <f>Spieltag!C381</f>
        <v>Mittelfeld</v>
      </c>
      <c r="F394" s="13" t="s">
        <v>328</v>
      </c>
      <c r="G394" s="14"/>
      <c r="H394" s="15">
        <f t="shared" si="1069"/>
        <v>0</v>
      </c>
      <c r="I394" s="14"/>
      <c r="J394" s="15">
        <f t="shared" si="1070"/>
        <v>0</v>
      </c>
      <c r="K394" s="14"/>
      <c r="L394" s="15">
        <f t="shared" si="1071"/>
        <v>0</v>
      </c>
      <c r="M394" s="14"/>
      <c r="N394" s="15">
        <f t="shared" si="1072"/>
        <v>0</v>
      </c>
      <c r="O394" s="16">
        <f t="shared" si="1066"/>
        <v>0</v>
      </c>
      <c r="P394" s="16">
        <f t="shared" si="1067"/>
        <v>-5</v>
      </c>
      <c r="Q394" s="16">
        <f t="shared" si="1068"/>
        <v>-20</v>
      </c>
      <c r="R394" s="14"/>
      <c r="S394" s="15">
        <f t="shared" si="1073"/>
        <v>0</v>
      </c>
      <c r="T394" s="14"/>
      <c r="U394" s="15">
        <f t="shared" si="1074"/>
        <v>0</v>
      </c>
      <c r="V394" s="16">
        <f t="shared" si="1075"/>
        <v>0</v>
      </c>
      <c r="W394" s="17">
        <f t="shared" si="1076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23</v>
      </c>
      <c r="D395" s="21" t="str">
        <f>Spieltag!B382</f>
        <v>Nicolai Rapp</v>
      </c>
      <c r="E395" s="12" t="str">
        <f>Spieltag!C382</f>
        <v>Mittelfeld</v>
      </c>
      <c r="F395" s="13" t="s">
        <v>328</v>
      </c>
      <c r="G395" s="14"/>
      <c r="H395" s="15">
        <f t="shared" si="1069"/>
        <v>0</v>
      </c>
      <c r="I395" s="14"/>
      <c r="J395" s="15">
        <f t="shared" si="1070"/>
        <v>0</v>
      </c>
      <c r="K395" s="14"/>
      <c r="L395" s="15">
        <f t="shared" si="1071"/>
        <v>0</v>
      </c>
      <c r="M395" s="14"/>
      <c r="N395" s="15">
        <f t="shared" si="1072"/>
        <v>0</v>
      </c>
      <c r="O395" s="16">
        <f t="shared" si="1066"/>
        <v>0</v>
      </c>
      <c r="P395" s="16">
        <f t="shared" si="1067"/>
        <v>-5</v>
      </c>
      <c r="Q395" s="16">
        <f t="shared" si="1068"/>
        <v>-20</v>
      </c>
      <c r="R395" s="14"/>
      <c r="S395" s="15">
        <f t="shared" si="1073"/>
        <v>0</v>
      </c>
      <c r="T395" s="14"/>
      <c r="U395" s="15">
        <f t="shared" si="1074"/>
        <v>0</v>
      </c>
      <c r="V395" s="16">
        <f t="shared" si="1075"/>
        <v>0</v>
      </c>
      <c r="W395" s="17">
        <f t="shared" si="1076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35</v>
      </c>
      <c r="D396" s="21" t="str">
        <f>Spieltag!B383</f>
        <v>Leon Opitz</v>
      </c>
      <c r="E396" s="12" t="str">
        <f>Spieltag!C383</f>
        <v>Mittelfeld</v>
      </c>
      <c r="F396" s="13" t="s">
        <v>328</v>
      </c>
      <c r="G396" s="14"/>
      <c r="H396" s="15">
        <f t="shared" si="1069"/>
        <v>0</v>
      </c>
      <c r="I396" s="14"/>
      <c r="J396" s="15">
        <f t="shared" si="1070"/>
        <v>0</v>
      </c>
      <c r="K396" s="14"/>
      <c r="L396" s="15">
        <f t="shared" si="1071"/>
        <v>0</v>
      </c>
      <c r="M396" s="14"/>
      <c r="N396" s="15">
        <f t="shared" si="1072"/>
        <v>0</v>
      </c>
      <c r="O396" s="16">
        <f t="shared" si="1066"/>
        <v>0</v>
      </c>
      <c r="P396" s="16">
        <f t="shared" si="1067"/>
        <v>-5</v>
      </c>
      <c r="Q396" s="16">
        <f t="shared" si="1068"/>
        <v>-20</v>
      </c>
      <c r="R396" s="14"/>
      <c r="S396" s="15">
        <f t="shared" si="1073"/>
        <v>0</v>
      </c>
      <c r="T396" s="14"/>
      <c r="U396" s="15">
        <f t="shared" si="1074"/>
        <v>0</v>
      </c>
      <c r="V396" s="16">
        <f t="shared" si="1075"/>
        <v>0</v>
      </c>
      <c r="W396" s="17">
        <f t="shared" si="1076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7</v>
      </c>
      <c r="D397" s="21" t="str">
        <f>Spieltag!B384</f>
        <v>Marvin Ducksch</v>
      </c>
      <c r="E397" s="12" t="str">
        <f>Spieltag!C384</f>
        <v>Sturm</v>
      </c>
      <c r="F397" s="13" t="s">
        <v>328</v>
      </c>
      <c r="G397" s="14"/>
      <c r="H397" s="15">
        <f t="shared" ref="H397" si="1077">IF(G397="x",10,0)</f>
        <v>0</v>
      </c>
      <c r="I397" s="14"/>
      <c r="J397" s="15">
        <f t="shared" ref="J397" si="1078">IF((I397="x"),-10,0)</f>
        <v>0</v>
      </c>
      <c r="K397" s="14"/>
      <c r="L397" s="15">
        <f t="shared" ref="L397" si="1079">IF((K397="x"),-20,0)</f>
        <v>0</v>
      </c>
      <c r="M397" s="14"/>
      <c r="N397" s="15">
        <f t="shared" ref="N397" si="1080">IF((M397="x"),-30,0)</f>
        <v>0</v>
      </c>
      <c r="O397" s="16">
        <f t="shared" si="1066"/>
        <v>0</v>
      </c>
      <c r="P397" s="16">
        <f t="shared" si="1067"/>
        <v>-5</v>
      </c>
      <c r="Q397" s="16">
        <f t="shared" ref="Q397:Q401" si="1081">IF(($Q$4&lt;&gt;0),$Q$4*-10,5)</f>
        <v>-20</v>
      </c>
      <c r="R397" s="14"/>
      <c r="S397" s="15">
        <f t="shared" ref="S397" si="1082">R397*10</f>
        <v>0</v>
      </c>
      <c r="T397" s="14"/>
      <c r="U397" s="15">
        <f t="shared" ref="U397" si="1083">T397*-15</f>
        <v>0</v>
      </c>
      <c r="V397" s="16">
        <f t="shared" ref="V397" si="1084">IF(AND(R397=2),10,IF(R397=3,30,IF(R397=4,50,IF(R397=5,70,0))))</f>
        <v>0</v>
      </c>
      <c r="W397" s="17">
        <f t="shared" ref="W397" si="1085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9</v>
      </c>
      <c r="D398" s="21" t="str">
        <f>Spieltag!B385</f>
        <v>Dawid Kownacki (A)</v>
      </c>
      <c r="E398" s="12" t="str">
        <f>Spieltag!C385</f>
        <v>Sturm</v>
      </c>
      <c r="F398" s="13" t="s">
        <v>328</v>
      </c>
      <c r="G398" s="14"/>
      <c r="H398" s="15">
        <f t="shared" ref="H398" si="1086">IF(G398="x",10,0)</f>
        <v>0</v>
      </c>
      <c r="I398" s="14"/>
      <c r="J398" s="15">
        <f t="shared" ref="J398" si="1087">IF((I398="x"),-10,0)</f>
        <v>0</v>
      </c>
      <c r="K398" s="14"/>
      <c r="L398" s="15">
        <f t="shared" ref="L398" si="1088">IF((K398="x"),-20,0)</f>
        <v>0</v>
      </c>
      <c r="M398" s="14"/>
      <c r="N398" s="15">
        <f t="shared" ref="N398" si="1089">IF((M398="x"),-30,0)</f>
        <v>0</v>
      </c>
      <c r="O398" s="16">
        <f t="shared" si="1066"/>
        <v>0</v>
      </c>
      <c r="P398" s="16">
        <f t="shared" si="1067"/>
        <v>-5</v>
      </c>
      <c r="Q398" s="16">
        <f t="shared" si="1081"/>
        <v>-20</v>
      </c>
      <c r="R398" s="14"/>
      <c r="S398" s="15">
        <f t="shared" ref="S398" si="1090">R398*10</f>
        <v>0</v>
      </c>
      <c r="T398" s="14"/>
      <c r="U398" s="15">
        <f t="shared" ref="U398" si="1091">T398*-15</f>
        <v>0</v>
      </c>
      <c r="V398" s="16">
        <f t="shared" ref="V398" si="1092">IF(AND(R398=2),10,IF(R398=3,30,IF(R398=4,50,IF(R398=5,70,0))))</f>
        <v>0</v>
      </c>
      <c r="W398" s="17">
        <f t="shared" ref="W398" si="1093">IF(G398="x",H398+J398+L398+N398+O398+P398+Q398+S398+U398+V398,0)</f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17</v>
      </c>
      <c r="D399" s="21" t="str">
        <f>Spieltag!B386</f>
        <v>Justin Njinmah</v>
      </c>
      <c r="E399" s="12" t="str">
        <f>Spieltag!C386</f>
        <v>Sturm</v>
      </c>
      <c r="F399" s="13" t="s">
        <v>328</v>
      </c>
      <c r="G399" s="14"/>
      <c r="H399" s="15">
        <f t="shared" ref="H399:H401" si="1094">IF(G399="x",10,0)</f>
        <v>0</v>
      </c>
      <c r="I399" s="14"/>
      <c r="J399" s="15">
        <f t="shared" ref="J399:J401" si="1095">IF((I399="x"),-10,0)</f>
        <v>0</v>
      </c>
      <c r="K399" s="14"/>
      <c r="L399" s="15">
        <f t="shared" ref="L399:L401" si="1096">IF((K399="x"),-20,0)</f>
        <v>0</v>
      </c>
      <c r="M399" s="14"/>
      <c r="N399" s="15">
        <f t="shared" ref="N399:N401" si="1097">IF((M399="x"),-30,0)</f>
        <v>0</v>
      </c>
      <c r="O399" s="16">
        <f t="shared" si="1066"/>
        <v>0</v>
      </c>
      <c r="P399" s="16">
        <f t="shared" si="1067"/>
        <v>-5</v>
      </c>
      <c r="Q399" s="16">
        <f t="shared" si="1081"/>
        <v>-20</v>
      </c>
      <c r="R399" s="14"/>
      <c r="S399" s="15">
        <f t="shared" ref="S399:S401" si="1098">R399*10</f>
        <v>0</v>
      </c>
      <c r="T399" s="14"/>
      <c r="U399" s="15">
        <f t="shared" ref="U399:U401" si="1099">T399*-15</f>
        <v>0</v>
      </c>
      <c r="V399" s="16">
        <f t="shared" ref="V399:V401" si="1100">IF(AND(R399=2),10,IF(R399=3,30,IF(R399=4,50,IF(R399=5,70,0))))</f>
        <v>0</v>
      </c>
      <c r="W399" s="17">
        <f t="shared" ref="W399:W401" si="1101">IF(G399="x",H399+J399+L399+N399+O399+P399+Q399+S399+U399+V399,0)</f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19</v>
      </c>
      <c r="D400" s="21" t="str">
        <f>Spieltag!B387</f>
        <v>Rafael Borré (A)</v>
      </c>
      <c r="E400" s="12" t="str">
        <f>Spieltag!C387</f>
        <v>Sturm</v>
      </c>
      <c r="F400" s="13" t="s">
        <v>328</v>
      </c>
      <c r="G400" s="14"/>
      <c r="H400" s="15">
        <f t="shared" si="1094"/>
        <v>0</v>
      </c>
      <c r="I400" s="14"/>
      <c r="J400" s="15">
        <f t="shared" si="1095"/>
        <v>0</v>
      </c>
      <c r="K400" s="14"/>
      <c r="L400" s="15">
        <f t="shared" si="1096"/>
        <v>0</v>
      </c>
      <c r="M400" s="14"/>
      <c r="N400" s="15">
        <f t="shared" si="1097"/>
        <v>0</v>
      </c>
      <c r="O400" s="16">
        <f t="shared" si="1066"/>
        <v>0</v>
      </c>
      <c r="P400" s="16">
        <f t="shared" si="1067"/>
        <v>-5</v>
      </c>
      <c r="Q400" s="16">
        <f t="shared" si="1081"/>
        <v>-20</v>
      </c>
      <c r="R400" s="14"/>
      <c r="S400" s="15">
        <f t="shared" si="1098"/>
        <v>0</v>
      </c>
      <c r="T400" s="14"/>
      <c r="U400" s="15">
        <f t="shared" si="1099"/>
        <v>0</v>
      </c>
      <c r="V400" s="16">
        <f t="shared" si="1100"/>
        <v>0</v>
      </c>
      <c r="W400" s="17">
        <f t="shared" si="11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29</v>
      </c>
      <c r="D401" s="21" t="str">
        <f>Spieltag!B388</f>
        <v>Nick Woltemade</v>
      </c>
      <c r="E401" s="12" t="str">
        <f>Spieltag!C388</f>
        <v>Sturm</v>
      </c>
      <c r="F401" s="13" t="s">
        <v>328</v>
      </c>
      <c r="G401" s="14"/>
      <c r="H401" s="15">
        <f t="shared" si="1094"/>
        <v>0</v>
      </c>
      <c r="I401" s="14"/>
      <c r="J401" s="15">
        <f t="shared" si="1095"/>
        <v>0</v>
      </c>
      <c r="K401" s="14"/>
      <c r="L401" s="15">
        <f t="shared" si="1096"/>
        <v>0</v>
      </c>
      <c r="M401" s="14"/>
      <c r="N401" s="15">
        <f t="shared" si="1097"/>
        <v>0</v>
      </c>
      <c r="O401" s="16">
        <f t="shared" si="1066"/>
        <v>0</v>
      </c>
      <c r="P401" s="16">
        <f t="shared" si="1067"/>
        <v>-5</v>
      </c>
      <c r="Q401" s="16">
        <f t="shared" si="1081"/>
        <v>-20</v>
      </c>
      <c r="R401" s="14"/>
      <c r="S401" s="15">
        <f t="shared" si="1098"/>
        <v>0</v>
      </c>
      <c r="T401" s="14"/>
      <c r="U401" s="15">
        <f t="shared" si="1099"/>
        <v>0</v>
      </c>
      <c r="V401" s="16">
        <f t="shared" si="1100"/>
        <v>0</v>
      </c>
      <c r="W401" s="17">
        <f t="shared" si="1101"/>
        <v>0</v>
      </c>
    </row>
    <row r="402" spans="1:23" s="144" customFormat="1" ht="17.25" hidden="1" thickBot="1" x14ac:dyDescent="0.25">
      <c r="A402" s="142"/>
      <c r="B402" s="143">
        <f>SUM(B403:B430)</f>
        <v>0</v>
      </c>
      <c r="C402" s="158"/>
      <c r="D402" s="234" t="s">
        <v>265</v>
      </c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5"/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</v>
      </c>
      <c r="D403" s="21" t="str">
        <f>Spieltag!B390</f>
        <v>Manuel Riemann</v>
      </c>
      <c r="E403" s="12" t="str">
        <f>Spieltag!C390</f>
        <v>Torwart</v>
      </c>
      <c r="F403" s="13" t="s">
        <v>323</v>
      </c>
      <c r="G403" s="14"/>
      <c r="H403" s="15">
        <f t="shared" ref="H403" si="1102">IF(G403="x",10,0)</f>
        <v>0</v>
      </c>
      <c r="I403" s="14"/>
      <c r="J403" s="15">
        <f t="shared" ref="J403" si="1103">IF((I403="x"),-10,0)</f>
        <v>0</v>
      </c>
      <c r="K403" s="14"/>
      <c r="L403" s="15">
        <f t="shared" ref="L403" si="1104">IF((K403="x"),-20,0)</f>
        <v>0</v>
      </c>
      <c r="M403" s="14"/>
      <c r="N403" s="15">
        <f t="shared" ref="N403" si="1105">IF((M403="x"),-30,0)</f>
        <v>0</v>
      </c>
      <c r="O403" s="16">
        <f t="shared" ref="O403:O416" si="1106">IF(AND($P$9&gt;$Q$9),20,IF($P$9=$Q$9,10,0))</f>
        <v>20</v>
      </c>
      <c r="P403" s="16">
        <f t="shared" ref="P403:P416" si="1107">IF(($P$9&lt;&gt;0),$P$9*10,-5)</f>
        <v>30</v>
      </c>
      <c r="Q403" s="16">
        <f>IF(($Q$9&lt;&gt;0),$Q$9*-10,20)</f>
        <v>-10</v>
      </c>
      <c r="R403" s="14"/>
      <c r="S403" s="15">
        <f>R403*20</f>
        <v>0</v>
      </c>
      <c r="T403" s="14"/>
      <c r="U403" s="15">
        <f t="shared" ref="U403" si="1108">T403*-15</f>
        <v>0</v>
      </c>
      <c r="V403" s="16">
        <f t="shared" ref="V403" si="1109">IF(AND(R403=2),10,IF(R403=3,30,IF(R403=4,50,IF(R403=5,70,0))))</f>
        <v>0</v>
      </c>
      <c r="W403" s="17">
        <f t="shared" ref="W403" si="111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21</v>
      </c>
      <c r="D404" s="21" t="str">
        <f>Spieltag!B391</f>
        <v>Michael Esser</v>
      </c>
      <c r="E404" s="12" t="str">
        <f>Spieltag!C391</f>
        <v>Torwart</v>
      </c>
      <c r="F404" s="13" t="s">
        <v>323</v>
      </c>
      <c r="G404" s="14"/>
      <c r="H404" s="15">
        <f t="shared" ref="H404" si="1111">IF(G404="x",10,0)</f>
        <v>0</v>
      </c>
      <c r="I404" s="14"/>
      <c r="J404" s="15">
        <f t="shared" ref="J404" si="1112">IF((I404="x"),-10,0)</f>
        <v>0</v>
      </c>
      <c r="K404" s="14"/>
      <c r="L404" s="15">
        <f t="shared" ref="L404" si="1113">IF((K404="x"),-20,0)</f>
        <v>0</v>
      </c>
      <c r="M404" s="14"/>
      <c r="N404" s="15">
        <f t="shared" ref="N404" si="1114">IF((M404="x"),-30,0)</f>
        <v>0</v>
      </c>
      <c r="O404" s="16">
        <f t="shared" si="1106"/>
        <v>20</v>
      </c>
      <c r="P404" s="16">
        <f t="shared" si="1107"/>
        <v>30</v>
      </c>
      <c r="Q404" s="16">
        <f t="shared" ref="Q404" si="1115">IF(($Q$9&lt;&gt;0),$Q$9*-10,20)</f>
        <v>-10</v>
      </c>
      <c r="R404" s="14"/>
      <c r="S404" s="15">
        <f t="shared" ref="S404" si="1116">R404*20</f>
        <v>0</v>
      </c>
      <c r="T404" s="14"/>
      <c r="U404" s="15">
        <f t="shared" ref="U404" si="1117">T404*-15</f>
        <v>0</v>
      </c>
      <c r="V404" s="16">
        <f t="shared" ref="V404" si="1118">IF(AND(R404=2),10,IF(R404=3,30,IF(R404=4,50,IF(R404=5,70,0))))</f>
        <v>0</v>
      </c>
      <c r="W404" s="17">
        <f t="shared" ref="W404" si="1119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COUNTA(Spieltag!K393:AA393)</f>
        <v>0</v>
      </c>
      <c r="C405" s="166">
        <f>Spieltag!A393</f>
        <v>2</v>
      </c>
      <c r="D405" s="21" t="str">
        <f>Spieltag!B393</f>
        <v>Cristian Gamboa (A)</v>
      </c>
      <c r="E405" s="12" t="str">
        <f>Spieltag!C393</f>
        <v>Abwehr</v>
      </c>
      <c r="F405" s="13" t="s">
        <v>323</v>
      </c>
      <c r="G405" s="14"/>
      <c r="H405" s="15">
        <f t="shared" ref="H405:H406" si="1120">IF(G405="x",10,0)</f>
        <v>0</v>
      </c>
      <c r="I405" s="14"/>
      <c r="J405" s="15">
        <f t="shared" ref="J405:J406" si="1121">IF((I405="x"),-10,0)</f>
        <v>0</v>
      </c>
      <c r="K405" s="14"/>
      <c r="L405" s="15">
        <f t="shared" ref="L405:L406" si="1122">IF((K405="x"),-20,0)</f>
        <v>0</v>
      </c>
      <c r="M405" s="14"/>
      <c r="N405" s="15">
        <f t="shared" ref="N405:N406" si="1123">IF((M405="x"),-30,0)</f>
        <v>0</v>
      </c>
      <c r="O405" s="16">
        <f t="shared" si="1106"/>
        <v>20</v>
      </c>
      <c r="P405" s="16">
        <f t="shared" si="1107"/>
        <v>30</v>
      </c>
      <c r="Q405" s="16">
        <f t="shared" ref="Q405:Q416" si="1124">IF(($Q$9&lt;&gt;0),$Q$9*-10,15)</f>
        <v>-10</v>
      </c>
      <c r="R405" s="14"/>
      <c r="S405" s="15">
        <f t="shared" ref="S405:S406" si="1125">R405*15</f>
        <v>0</v>
      </c>
      <c r="T405" s="14"/>
      <c r="U405" s="15">
        <f t="shared" ref="U405:U406" si="1126">T405*-15</f>
        <v>0</v>
      </c>
      <c r="V405" s="16">
        <f t="shared" ref="V405:V406" si="1127">IF(AND(R405=2),10,IF(R405=3,30,IF(R405=4,50,IF(R405=5,70,0))))</f>
        <v>0</v>
      </c>
      <c r="W405" s="17">
        <f t="shared" ref="W405:W406" si="1128">IF(G405="x",H405+J405+L405+N405+O405+P405+Q405+S405+U405+V405,0)</f>
        <v>0</v>
      </c>
    </row>
    <row r="406" spans="1:23" ht="10.5" hidden="1" customHeight="1" x14ac:dyDescent="0.2">
      <c r="A406" s="11"/>
      <c r="B406" s="149">
        <f>COUNTA(Spieltag!K394:AA394)</f>
        <v>0</v>
      </c>
      <c r="C406" s="166">
        <f>Spieltag!A394</f>
        <v>3</v>
      </c>
      <c r="D406" s="21" t="str">
        <f>Spieltag!B394</f>
        <v>Danilo Soares (A)</v>
      </c>
      <c r="E406" s="12" t="str">
        <f>Spieltag!C394</f>
        <v>Abwehr</v>
      </c>
      <c r="F406" s="13" t="s">
        <v>323</v>
      </c>
      <c r="G406" s="14"/>
      <c r="H406" s="15">
        <f t="shared" si="1120"/>
        <v>0</v>
      </c>
      <c r="I406" s="14"/>
      <c r="J406" s="15">
        <f t="shared" si="1121"/>
        <v>0</v>
      </c>
      <c r="K406" s="14"/>
      <c r="L406" s="15">
        <f t="shared" si="1122"/>
        <v>0</v>
      </c>
      <c r="M406" s="14"/>
      <c r="N406" s="15">
        <f t="shared" si="1123"/>
        <v>0</v>
      </c>
      <c r="O406" s="16">
        <f t="shared" si="1106"/>
        <v>20</v>
      </c>
      <c r="P406" s="16">
        <f t="shared" si="1107"/>
        <v>30</v>
      </c>
      <c r="Q406" s="16">
        <f t="shared" si="1124"/>
        <v>-10</v>
      </c>
      <c r="R406" s="14"/>
      <c r="S406" s="15">
        <f t="shared" si="1125"/>
        <v>0</v>
      </c>
      <c r="T406" s="14"/>
      <c r="U406" s="15">
        <f t="shared" si="1126"/>
        <v>0</v>
      </c>
      <c r="V406" s="16">
        <f t="shared" si="1127"/>
        <v>0</v>
      </c>
      <c r="W406" s="17">
        <f t="shared" si="1128"/>
        <v>0</v>
      </c>
    </row>
    <row r="407" spans="1:23" ht="10.5" hidden="1" customHeight="1" x14ac:dyDescent="0.2">
      <c r="A407" s="11"/>
      <c r="B407" s="149">
        <f>COUNTA(Spieltag!K395:AA395)</f>
        <v>0</v>
      </c>
      <c r="C407" s="166">
        <f>Spieltag!A395</f>
        <v>4</v>
      </c>
      <c r="D407" s="21" t="str">
        <f>Spieltag!B395</f>
        <v>Erhan Mašović (A)</v>
      </c>
      <c r="E407" s="12" t="str">
        <f>Spieltag!C395</f>
        <v>Abwehr</v>
      </c>
      <c r="F407" s="13" t="s">
        <v>323</v>
      </c>
      <c r="G407" s="14"/>
      <c r="H407" s="15">
        <f t="shared" ref="H407:H412" si="1129">IF(G407="x",10,0)</f>
        <v>0</v>
      </c>
      <c r="I407" s="14"/>
      <c r="J407" s="15">
        <f t="shared" ref="J407:J412" si="1130">IF((I407="x"),-10,0)</f>
        <v>0</v>
      </c>
      <c r="K407" s="14"/>
      <c r="L407" s="15">
        <f t="shared" ref="L407:L412" si="1131">IF((K407="x"),-20,0)</f>
        <v>0</v>
      </c>
      <c r="M407" s="14"/>
      <c r="N407" s="15">
        <f t="shared" ref="N407:N412" si="1132">IF((M407="x"),-30,0)</f>
        <v>0</v>
      </c>
      <c r="O407" s="16">
        <f t="shared" si="1106"/>
        <v>20</v>
      </c>
      <c r="P407" s="16">
        <f t="shared" si="1107"/>
        <v>30</v>
      </c>
      <c r="Q407" s="16">
        <f t="shared" si="1124"/>
        <v>-10</v>
      </c>
      <c r="R407" s="14"/>
      <c r="S407" s="15">
        <f t="shared" ref="S407:S412" si="1133">R407*15</f>
        <v>0</v>
      </c>
      <c r="T407" s="14"/>
      <c r="U407" s="15">
        <f t="shared" ref="U407:U412" si="1134">T407*-15</f>
        <v>0</v>
      </c>
      <c r="V407" s="16">
        <f t="shared" ref="V407:V412" si="1135">IF(AND(R407=2),10,IF(R407=3,30,IF(R407=4,50,IF(R407=5,70,0))))</f>
        <v>0</v>
      </c>
      <c r="W407" s="17">
        <f t="shared" ref="W407:W412" si="1136">IF(G407="x",H407+J407+L407+N407+O407+P407+Q407+S407+U407+V407,0)</f>
        <v>0</v>
      </c>
    </row>
    <row r="408" spans="1:23" ht="10.5" hidden="1" customHeight="1" x14ac:dyDescent="0.2">
      <c r="A408" s="11"/>
      <c r="B408" s="149">
        <f>COUNTA(Spieltag!K396:AA396)</f>
        <v>0</v>
      </c>
      <c r="C408" s="166">
        <f>Spieltag!A396</f>
        <v>5</v>
      </c>
      <c r="D408" s="21" t="str">
        <f>Spieltag!B396</f>
        <v>Bernardo (A)</v>
      </c>
      <c r="E408" s="12" t="str">
        <f>Spieltag!C396</f>
        <v>Abwehr</v>
      </c>
      <c r="F408" s="13" t="s">
        <v>323</v>
      </c>
      <c r="G408" s="14"/>
      <c r="H408" s="15">
        <f t="shared" si="1129"/>
        <v>0</v>
      </c>
      <c r="I408" s="14"/>
      <c r="J408" s="15">
        <f t="shared" si="1130"/>
        <v>0</v>
      </c>
      <c r="K408" s="14"/>
      <c r="L408" s="15">
        <f t="shared" si="1131"/>
        <v>0</v>
      </c>
      <c r="M408" s="14"/>
      <c r="N408" s="15">
        <f t="shared" si="1132"/>
        <v>0</v>
      </c>
      <c r="O408" s="16">
        <f t="shared" si="1106"/>
        <v>20</v>
      </c>
      <c r="P408" s="16">
        <f t="shared" si="1107"/>
        <v>30</v>
      </c>
      <c r="Q408" s="16">
        <f t="shared" si="1124"/>
        <v>-10</v>
      </c>
      <c r="R408" s="14"/>
      <c r="S408" s="15">
        <f t="shared" si="1133"/>
        <v>0</v>
      </c>
      <c r="T408" s="14"/>
      <c r="U408" s="15">
        <f t="shared" si="1134"/>
        <v>0</v>
      </c>
      <c r="V408" s="16">
        <f t="shared" si="1135"/>
        <v>0</v>
      </c>
      <c r="W408" s="17">
        <f t="shared" si="1136"/>
        <v>0</v>
      </c>
    </row>
    <row r="409" spans="1:23" ht="10.5" hidden="1" customHeight="1" x14ac:dyDescent="0.2">
      <c r="A409" s="11"/>
      <c r="B409" s="149">
        <f>COUNTA(Spieltag!K397:AA397)</f>
        <v>0</v>
      </c>
      <c r="C409" s="166">
        <f>Spieltag!A397</f>
        <v>14</v>
      </c>
      <c r="D409" s="21" t="str">
        <f>Spieltag!B397</f>
        <v>Tim Oermann</v>
      </c>
      <c r="E409" s="12" t="str">
        <f>Spieltag!C397</f>
        <v>Abwehr</v>
      </c>
      <c r="F409" s="13" t="s">
        <v>323</v>
      </c>
      <c r="G409" s="14"/>
      <c r="H409" s="15">
        <f t="shared" ref="H409" si="1137">IF(G409="x",10,0)</f>
        <v>0</v>
      </c>
      <c r="I409" s="14"/>
      <c r="J409" s="15">
        <f t="shared" ref="J409" si="1138">IF((I409="x"),-10,0)</f>
        <v>0</v>
      </c>
      <c r="K409" s="14"/>
      <c r="L409" s="15">
        <f t="shared" ref="L409" si="1139">IF((K409="x"),-20,0)</f>
        <v>0</v>
      </c>
      <c r="M409" s="14"/>
      <c r="N409" s="15">
        <f t="shared" ref="N409" si="1140">IF((M409="x"),-30,0)</f>
        <v>0</v>
      </c>
      <c r="O409" s="16">
        <f t="shared" si="1106"/>
        <v>20</v>
      </c>
      <c r="P409" s="16">
        <f t="shared" si="1107"/>
        <v>30</v>
      </c>
      <c r="Q409" s="16">
        <f t="shared" si="1124"/>
        <v>-10</v>
      </c>
      <c r="R409" s="14"/>
      <c r="S409" s="15">
        <f t="shared" ref="S409" si="1141">R409*15</f>
        <v>0</v>
      </c>
      <c r="T409" s="14"/>
      <c r="U409" s="15">
        <f t="shared" ref="U409" si="1142">T409*-15</f>
        <v>0</v>
      </c>
      <c r="V409" s="16">
        <f t="shared" ref="V409" si="1143">IF(AND(R409=2),10,IF(R409=3,30,IF(R409=4,50,IF(R409=5,70,0))))</f>
        <v>0</v>
      </c>
      <c r="W409" s="17">
        <f t="shared" ref="W409" si="1144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COUNTA(Spieltag!K398:AA398)</f>
        <v>0</v>
      </c>
      <c r="C410" s="166">
        <f>Spieltag!A398</f>
        <v>15</v>
      </c>
      <c r="D410" s="21" t="str">
        <f>Spieltag!B398</f>
        <v>Felix Passlack</v>
      </c>
      <c r="E410" s="12" t="str">
        <f>Spieltag!C398</f>
        <v>Abwehr</v>
      </c>
      <c r="F410" s="13" t="s">
        <v>323</v>
      </c>
      <c r="G410" s="14"/>
      <c r="H410" s="15">
        <f t="shared" si="1129"/>
        <v>0</v>
      </c>
      <c r="I410" s="14"/>
      <c r="J410" s="15">
        <f t="shared" si="1130"/>
        <v>0</v>
      </c>
      <c r="K410" s="14"/>
      <c r="L410" s="15">
        <f t="shared" si="1131"/>
        <v>0</v>
      </c>
      <c r="M410" s="14"/>
      <c r="N410" s="15">
        <f t="shared" si="1132"/>
        <v>0</v>
      </c>
      <c r="O410" s="16">
        <f t="shared" si="1106"/>
        <v>20</v>
      </c>
      <c r="P410" s="16">
        <f t="shared" si="1107"/>
        <v>30</v>
      </c>
      <c r="Q410" s="16">
        <f t="shared" si="1124"/>
        <v>-10</v>
      </c>
      <c r="R410" s="14"/>
      <c r="S410" s="15">
        <f t="shared" si="1133"/>
        <v>0</v>
      </c>
      <c r="T410" s="14"/>
      <c r="U410" s="15">
        <f t="shared" si="1134"/>
        <v>0</v>
      </c>
      <c r="V410" s="16">
        <f t="shared" si="1135"/>
        <v>0</v>
      </c>
      <c r="W410" s="17">
        <f t="shared" si="1136"/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20</v>
      </c>
      <c r="D411" s="21" t="str">
        <f>Spieltag!B399</f>
        <v>Ivan Ordets (A)</v>
      </c>
      <c r="E411" s="12" t="str">
        <f>Spieltag!C399</f>
        <v>Abwehr</v>
      </c>
      <c r="F411" s="13" t="s">
        <v>323</v>
      </c>
      <c r="G411" s="14"/>
      <c r="H411" s="15">
        <f t="shared" si="1129"/>
        <v>0</v>
      </c>
      <c r="I411" s="14"/>
      <c r="J411" s="15">
        <f t="shared" si="1130"/>
        <v>0</v>
      </c>
      <c r="K411" s="14"/>
      <c r="L411" s="15">
        <f t="shared" si="1131"/>
        <v>0</v>
      </c>
      <c r="M411" s="14"/>
      <c r="N411" s="15">
        <f t="shared" si="1132"/>
        <v>0</v>
      </c>
      <c r="O411" s="16">
        <f t="shared" si="1106"/>
        <v>20</v>
      </c>
      <c r="P411" s="16">
        <f t="shared" si="1107"/>
        <v>30</v>
      </c>
      <c r="Q411" s="16">
        <f t="shared" si="1124"/>
        <v>-10</v>
      </c>
      <c r="R411" s="14"/>
      <c r="S411" s="15">
        <f t="shared" si="1133"/>
        <v>0</v>
      </c>
      <c r="T411" s="14"/>
      <c r="U411" s="15">
        <f t="shared" si="1134"/>
        <v>0</v>
      </c>
      <c r="V411" s="16">
        <f t="shared" si="1135"/>
        <v>0</v>
      </c>
      <c r="W411" s="17">
        <f t="shared" si="1136"/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25</v>
      </c>
      <c r="D412" s="21" t="str">
        <f>Spieltag!B400</f>
        <v>Mohammed Tolba</v>
      </c>
      <c r="E412" s="12" t="str">
        <f>Spieltag!C400</f>
        <v>Abwehr</v>
      </c>
      <c r="F412" s="13" t="s">
        <v>323</v>
      </c>
      <c r="G412" s="14"/>
      <c r="H412" s="15">
        <f t="shared" si="1129"/>
        <v>0</v>
      </c>
      <c r="I412" s="14"/>
      <c r="J412" s="15">
        <f t="shared" si="1130"/>
        <v>0</v>
      </c>
      <c r="K412" s="14"/>
      <c r="L412" s="15">
        <f t="shared" si="1131"/>
        <v>0</v>
      </c>
      <c r="M412" s="14"/>
      <c r="N412" s="15">
        <f t="shared" si="1132"/>
        <v>0</v>
      </c>
      <c r="O412" s="16">
        <f t="shared" si="1106"/>
        <v>20</v>
      </c>
      <c r="P412" s="16">
        <f t="shared" si="1107"/>
        <v>30</v>
      </c>
      <c r="Q412" s="16">
        <f t="shared" si="1124"/>
        <v>-10</v>
      </c>
      <c r="R412" s="14"/>
      <c r="S412" s="15">
        <f t="shared" si="1133"/>
        <v>0</v>
      </c>
      <c r="T412" s="14"/>
      <c r="U412" s="15">
        <f t="shared" si="1134"/>
        <v>0</v>
      </c>
      <c r="V412" s="16">
        <f t="shared" si="1135"/>
        <v>0</v>
      </c>
      <c r="W412" s="17">
        <f t="shared" si="1136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30</v>
      </c>
      <c r="D413" s="21" t="str">
        <f>Spieltag!B401</f>
        <v>Moritz Römling</v>
      </c>
      <c r="E413" s="12" t="str">
        <f>Spieltag!C401</f>
        <v>Abwehr</v>
      </c>
      <c r="F413" s="13" t="s">
        <v>323</v>
      </c>
      <c r="G413" s="14"/>
      <c r="H413" s="15">
        <f t="shared" ref="H413:H416" si="1145">IF(G413="x",10,0)</f>
        <v>0</v>
      </c>
      <c r="I413" s="14"/>
      <c r="J413" s="15">
        <f t="shared" ref="J413:J416" si="1146">IF((I413="x"),-10,0)</f>
        <v>0</v>
      </c>
      <c r="K413" s="14"/>
      <c r="L413" s="15">
        <f t="shared" ref="L413:L416" si="1147">IF((K413="x"),-20,0)</f>
        <v>0</v>
      </c>
      <c r="M413" s="14"/>
      <c r="N413" s="15">
        <f t="shared" ref="N413:N416" si="1148">IF((M413="x"),-30,0)</f>
        <v>0</v>
      </c>
      <c r="O413" s="16">
        <f t="shared" si="1106"/>
        <v>20</v>
      </c>
      <c r="P413" s="16">
        <f t="shared" si="1107"/>
        <v>30</v>
      </c>
      <c r="Q413" s="16">
        <f t="shared" si="1124"/>
        <v>-10</v>
      </c>
      <c r="R413" s="14"/>
      <c r="S413" s="15">
        <f t="shared" ref="S413:S416" si="1149">R413*15</f>
        <v>0</v>
      </c>
      <c r="T413" s="14"/>
      <c r="U413" s="15">
        <f t="shared" ref="U413:U416" si="1150">T413*-15</f>
        <v>0</v>
      </c>
      <c r="V413" s="16">
        <f t="shared" ref="V413:V416" si="1151">IF(AND(R413=2),10,IF(R413=3,30,IF(R413=4,50,IF(R413=5,70,0))))</f>
        <v>0</v>
      </c>
      <c r="W413" s="17">
        <f t="shared" ref="W413:W416" si="1152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31</v>
      </c>
      <c r="D414" s="21" t="str">
        <f>Spieltag!B402</f>
        <v>Keven Schlotterbeck</v>
      </c>
      <c r="E414" s="12" t="str">
        <f>Spieltag!C402</f>
        <v>Abwehr</v>
      </c>
      <c r="F414" s="13" t="s">
        <v>323</v>
      </c>
      <c r="G414" s="14"/>
      <c r="H414" s="15">
        <f>IF(G414="x",10,0)</f>
        <v>0</v>
      </c>
      <c r="I414" s="14"/>
      <c r="J414" s="15">
        <f>IF((I414="x"),-10,0)</f>
        <v>0</v>
      </c>
      <c r="K414" s="14"/>
      <c r="L414" s="15">
        <f>IF((K414="x"),-20,0)</f>
        <v>0</v>
      </c>
      <c r="M414" s="14"/>
      <c r="N414" s="15">
        <f>IF((M414="x"),-30,0)</f>
        <v>0</v>
      </c>
      <c r="O414" s="16">
        <f t="shared" si="1106"/>
        <v>20</v>
      </c>
      <c r="P414" s="16">
        <f t="shared" si="1107"/>
        <v>30</v>
      </c>
      <c r="Q414" s="16">
        <f t="shared" si="1124"/>
        <v>-10</v>
      </c>
      <c r="R414" s="14"/>
      <c r="S414" s="15">
        <f>R414*15</f>
        <v>0</v>
      </c>
      <c r="T414" s="14"/>
      <c r="U414" s="15">
        <f>T414*-15</f>
        <v>0</v>
      </c>
      <c r="V414" s="16">
        <f>IF(AND(R414=2),10,IF(R414=3,30,IF(R414=4,50,IF(R414=5,70,0))))</f>
        <v>0</v>
      </c>
      <c r="W414" s="17">
        <f>IF(G414="x",H414+J414+L414+N414+O414+P414+Q414+S414+U414+V414,0)</f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32</v>
      </c>
      <c r="D415" s="21" t="str">
        <f>Spieltag!B403</f>
        <v>Maximilian Wittek</v>
      </c>
      <c r="E415" s="12" t="str">
        <f>Spieltag!C403</f>
        <v>Abwehr</v>
      </c>
      <c r="F415" s="13" t="s">
        <v>323</v>
      </c>
      <c r="G415" s="14"/>
      <c r="H415" s="15">
        <f>IF(G415="x",10,0)</f>
        <v>0</v>
      </c>
      <c r="I415" s="14"/>
      <c r="J415" s="15">
        <f>IF((I415="x"),-10,0)</f>
        <v>0</v>
      </c>
      <c r="K415" s="14"/>
      <c r="L415" s="15">
        <f>IF((K415="x"),-20,0)</f>
        <v>0</v>
      </c>
      <c r="M415" s="14"/>
      <c r="N415" s="15">
        <f>IF((M415="x"),-30,0)</f>
        <v>0</v>
      </c>
      <c r="O415" s="16">
        <f t="shared" si="1106"/>
        <v>20</v>
      </c>
      <c r="P415" s="16">
        <f t="shared" si="1107"/>
        <v>30</v>
      </c>
      <c r="Q415" s="16">
        <f t="shared" si="1124"/>
        <v>-10</v>
      </c>
      <c r="R415" s="14"/>
      <c r="S415" s="15">
        <f>R415*15</f>
        <v>0</v>
      </c>
      <c r="T415" s="14"/>
      <c r="U415" s="15">
        <f>T415*-15</f>
        <v>0</v>
      </c>
      <c r="V415" s="16">
        <f>IF(AND(R415=2),10,IF(R415=3,30,IF(R415=4,50,IF(R415=5,70,0))))</f>
        <v>0</v>
      </c>
      <c r="W415" s="17">
        <f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41</v>
      </c>
      <c r="D416" s="21" t="str">
        <f>Spieltag!B404</f>
        <v>Noah Loosli (A)</v>
      </c>
      <c r="E416" s="12" t="str">
        <f>Spieltag!C404</f>
        <v>Abwehr</v>
      </c>
      <c r="F416" s="13" t="s">
        <v>323</v>
      </c>
      <c r="G416" s="14"/>
      <c r="H416" s="15">
        <f t="shared" si="1145"/>
        <v>0</v>
      </c>
      <c r="I416" s="14"/>
      <c r="J416" s="15">
        <f t="shared" si="1146"/>
        <v>0</v>
      </c>
      <c r="K416" s="14"/>
      <c r="L416" s="15">
        <f t="shared" si="1147"/>
        <v>0</v>
      </c>
      <c r="M416" s="14"/>
      <c r="N416" s="15">
        <f t="shared" si="1148"/>
        <v>0</v>
      </c>
      <c r="O416" s="16">
        <f t="shared" si="1106"/>
        <v>20</v>
      </c>
      <c r="P416" s="16">
        <f t="shared" si="1107"/>
        <v>30</v>
      </c>
      <c r="Q416" s="16">
        <f t="shared" si="1124"/>
        <v>-10</v>
      </c>
      <c r="R416" s="14"/>
      <c r="S416" s="15">
        <f t="shared" si="1149"/>
        <v>0</v>
      </c>
      <c r="T416" s="14"/>
      <c r="U416" s="15">
        <f t="shared" si="1150"/>
        <v>0</v>
      </c>
      <c r="V416" s="16">
        <f t="shared" si="1151"/>
        <v>0</v>
      </c>
      <c r="W416" s="17">
        <f t="shared" si="1152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6</v>
      </c>
      <c r="D417" s="21" t="str">
        <f>Spieltag!B405</f>
        <v>Patrick Osterhage</v>
      </c>
      <c r="E417" s="12" t="str">
        <f>Spieltag!C405</f>
        <v>Mittelfeld</v>
      </c>
      <c r="F417" s="13" t="s">
        <v>323</v>
      </c>
      <c r="G417" s="14"/>
      <c r="H417" s="15">
        <f t="shared" ref="H417" si="1153">IF(G417="x",10,0)</f>
        <v>0</v>
      </c>
      <c r="I417" s="14"/>
      <c r="J417" s="15">
        <f t="shared" ref="J417" si="1154">IF((I417="x"),-10,0)</f>
        <v>0</v>
      </c>
      <c r="K417" s="14"/>
      <c r="L417" s="15">
        <f t="shared" ref="L417" si="1155">IF((K417="x"),-20,0)</f>
        <v>0</v>
      </c>
      <c r="M417" s="14"/>
      <c r="N417" s="15">
        <f t="shared" ref="N417" si="1156">IF((M417="x"),-30,0)</f>
        <v>0</v>
      </c>
      <c r="O417" s="16">
        <f t="shared" ref="O417:O430" si="1157">IF(AND($P$9&gt;$Q$9),20,IF($P$9=$Q$9,10,0))</f>
        <v>20</v>
      </c>
      <c r="P417" s="16">
        <f t="shared" ref="P417:P430" si="1158">IF(($P$9&lt;&gt;0),$P$9*10,-5)</f>
        <v>30</v>
      </c>
      <c r="Q417" s="16">
        <f t="shared" ref="Q417:Q425" si="1159">IF(($Q$9&lt;&gt;0),$Q$9*-10,10)</f>
        <v>-10</v>
      </c>
      <c r="R417" s="14"/>
      <c r="S417" s="15">
        <f t="shared" ref="S417" si="1160">R417*10</f>
        <v>0</v>
      </c>
      <c r="T417" s="14"/>
      <c r="U417" s="15">
        <f t="shared" ref="U417" si="1161">T417*-15</f>
        <v>0</v>
      </c>
      <c r="V417" s="16">
        <f t="shared" ref="V417" si="1162">IF(AND(R417=2),10,IF(R417=3,30,IF(R417=4,50,IF(R417=5,70,0))))</f>
        <v>0</v>
      </c>
      <c r="W417" s="17">
        <f t="shared" ref="W417" si="1163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7</v>
      </c>
      <c r="D418" s="21" t="str">
        <f>Spieltag!B406</f>
        <v>Kevin Stöger (A)</v>
      </c>
      <c r="E418" s="12" t="str">
        <f>Spieltag!C406</f>
        <v>Mittelfeld</v>
      </c>
      <c r="F418" s="13" t="s">
        <v>323</v>
      </c>
      <c r="G418" s="14"/>
      <c r="H418" s="15">
        <f t="shared" ref="H418:H425" si="1164">IF(G418="x",10,0)</f>
        <v>0</v>
      </c>
      <c r="I418" s="14"/>
      <c r="J418" s="15">
        <f t="shared" ref="J418:J425" si="1165">IF((I418="x"),-10,0)</f>
        <v>0</v>
      </c>
      <c r="K418" s="14"/>
      <c r="L418" s="15">
        <f t="shared" ref="L418:L425" si="1166">IF((K418="x"),-20,0)</f>
        <v>0</v>
      </c>
      <c r="M418" s="14"/>
      <c r="N418" s="15">
        <f t="shared" ref="N418:N425" si="1167">IF((M418="x"),-30,0)</f>
        <v>0</v>
      </c>
      <c r="O418" s="16">
        <f t="shared" si="1157"/>
        <v>20</v>
      </c>
      <c r="P418" s="16">
        <f t="shared" si="1158"/>
        <v>30</v>
      </c>
      <c r="Q418" s="16">
        <f t="shared" si="1159"/>
        <v>-10</v>
      </c>
      <c r="R418" s="14"/>
      <c r="S418" s="15">
        <f t="shared" ref="S418:S425" si="1168">R418*10</f>
        <v>0</v>
      </c>
      <c r="T418" s="14"/>
      <c r="U418" s="15">
        <f t="shared" ref="U418:U425" si="1169">T418*-15</f>
        <v>0</v>
      </c>
      <c r="V418" s="16">
        <f t="shared" ref="V418:V425" si="1170">IF(AND(R418=2),10,IF(R418=3,30,IF(R418=4,50,IF(R418=5,70,0))))</f>
        <v>0</v>
      </c>
      <c r="W418" s="17">
        <f t="shared" ref="W418:W425" si="1171">IF(G418="x",H418+J418+L418+N418+O418+P418+Q418+S418+U418+V418,0)</f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8</v>
      </c>
      <c r="D419" s="21" t="str">
        <f>Spieltag!B407</f>
        <v>Anthony Losilia (A)</v>
      </c>
      <c r="E419" s="12" t="str">
        <f>Spieltag!C407</f>
        <v>Mittelfeld</v>
      </c>
      <c r="F419" s="13" t="s">
        <v>323</v>
      </c>
      <c r="G419" s="14"/>
      <c r="H419" s="15">
        <f t="shared" si="1164"/>
        <v>0</v>
      </c>
      <c r="I419" s="14"/>
      <c r="J419" s="15">
        <f t="shared" si="1165"/>
        <v>0</v>
      </c>
      <c r="K419" s="14"/>
      <c r="L419" s="15">
        <f t="shared" si="1166"/>
        <v>0</v>
      </c>
      <c r="M419" s="14"/>
      <c r="N419" s="15">
        <f t="shared" si="1167"/>
        <v>0</v>
      </c>
      <c r="O419" s="16">
        <f t="shared" si="1157"/>
        <v>20</v>
      </c>
      <c r="P419" s="16">
        <f t="shared" si="1158"/>
        <v>30</v>
      </c>
      <c r="Q419" s="16">
        <f t="shared" si="1159"/>
        <v>-10</v>
      </c>
      <c r="R419" s="14"/>
      <c r="S419" s="15">
        <f t="shared" si="1168"/>
        <v>0</v>
      </c>
      <c r="T419" s="14"/>
      <c r="U419" s="15">
        <f t="shared" si="1169"/>
        <v>0</v>
      </c>
      <c r="V419" s="16">
        <f t="shared" si="1170"/>
        <v>0</v>
      </c>
      <c r="W419" s="17">
        <f t="shared" si="117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10</v>
      </c>
      <c r="D420" s="21" t="str">
        <f>Spieltag!B408</f>
        <v>Philipp Förster</v>
      </c>
      <c r="E420" s="12" t="str">
        <f>Spieltag!C408</f>
        <v>Mittelfeld</v>
      </c>
      <c r="F420" s="13" t="s">
        <v>323</v>
      </c>
      <c r="G420" s="14"/>
      <c r="H420" s="15">
        <f t="shared" si="1164"/>
        <v>0</v>
      </c>
      <c r="I420" s="14"/>
      <c r="J420" s="15">
        <f t="shared" si="1165"/>
        <v>0</v>
      </c>
      <c r="K420" s="14"/>
      <c r="L420" s="15">
        <f t="shared" si="1166"/>
        <v>0</v>
      </c>
      <c r="M420" s="14"/>
      <c r="N420" s="15">
        <f t="shared" si="1167"/>
        <v>0</v>
      </c>
      <c r="O420" s="16">
        <f t="shared" si="1157"/>
        <v>20</v>
      </c>
      <c r="P420" s="16">
        <f t="shared" si="1158"/>
        <v>30</v>
      </c>
      <c r="Q420" s="16">
        <f t="shared" si="1159"/>
        <v>-10</v>
      </c>
      <c r="R420" s="14"/>
      <c r="S420" s="15">
        <f t="shared" si="1168"/>
        <v>0</v>
      </c>
      <c r="T420" s="14"/>
      <c r="U420" s="15">
        <f t="shared" si="1169"/>
        <v>0</v>
      </c>
      <c r="V420" s="16">
        <f t="shared" si="1170"/>
        <v>0</v>
      </c>
      <c r="W420" s="17">
        <f t="shared" si="117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13</v>
      </c>
      <c r="D421" s="21" t="str">
        <f>Spieltag!B409</f>
        <v>Lukas Daschner</v>
      </c>
      <c r="E421" s="12" t="str">
        <f>Spieltag!C409</f>
        <v>Mittelfeld</v>
      </c>
      <c r="F421" s="13" t="s">
        <v>323</v>
      </c>
      <c r="G421" s="14"/>
      <c r="H421" s="15">
        <f t="shared" si="1164"/>
        <v>0</v>
      </c>
      <c r="I421" s="14"/>
      <c r="J421" s="15">
        <f t="shared" si="1165"/>
        <v>0</v>
      </c>
      <c r="K421" s="14"/>
      <c r="L421" s="15">
        <f t="shared" si="1166"/>
        <v>0</v>
      </c>
      <c r="M421" s="14"/>
      <c r="N421" s="15">
        <f t="shared" si="1167"/>
        <v>0</v>
      </c>
      <c r="O421" s="16">
        <f t="shared" si="1157"/>
        <v>20</v>
      </c>
      <c r="P421" s="16">
        <f t="shared" si="1158"/>
        <v>30</v>
      </c>
      <c r="Q421" s="16">
        <f t="shared" si="1159"/>
        <v>-10</v>
      </c>
      <c r="R421" s="14"/>
      <c r="S421" s="15">
        <f t="shared" si="1168"/>
        <v>0</v>
      </c>
      <c r="T421" s="14"/>
      <c r="U421" s="15">
        <f t="shared" si="1169"/>
        <v>0</v>
      </c>
      <c r="V421" s="16">
        <f t="shared" si="1170"/>
        <v>0</v>
      </c>
      <c r="W421" s="17">
        <f t="shared" si="117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18</v>
      </c>
      <c r="D422" s="21" t="str">
        <f>Spieltag!B410</f>
        <v>Jordi Osei-Tutu (A)</v>
      </c>
      <c r="E422" s="12" t="str">
        <f>Spieltag!C410</f>
        <v>Mittelfeld</v>
      </c>
      <c r="F422" s="13" t="s">
        <v>323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157"/>
        <v>20</v>
      </c>
      <c r="P422" s="16">
        <f t="shared" si="1158"/>
        <v>30</v>
      </c>
      <c r="Q422" s="16">
        <f t="shared" si="1159"/>
        <v>-10</v>
      </c>
      <c r="R422" s="14"/>
      <c r="S422" s="15">
        <f>R422*10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19</v>
      </c>
      <c r="D423" s="21" t="str">
        <f>Spieltag!B411</f>
        <v>Matúš Bero (A)</v>
      </c>
      <c r="E423" s="12" t="str">
        <f>Spieltag!C411</f>
        <v>Mittelfeld</v>
      </c>
      <c r="F423" s="13" t="s">
        <v>323</v>
      </c>
      <c r="G423" s="14"/>
      <c r="H423" s="15">
        <f t="shared" si="1164"/>
        <v>0</v>
      </c>
      <c r="I423" s="14"/>
      <c r="J423" s="15">
        <f t="shared" si="1165"/>
        <v>0</v>
      </c>
      <c r="K423" s="14"/>
      <c r="L423" s="15">
        <f t="shared" si="1166"/>
        <v>0</v>
      </c>
      <c r="M423" s="14"/>
      <c r="N423" s="15">
        <f t="shared" si="1167"/>
        <v>0</v>
      </c>
      <c r="O423" s="16">
        <f t="shared" si="1157"/>
        <v>20</v>
      </c>
      <c r="P423" s="16">
        <f t="shared" si="1158"/>
        <v>30</v>
      </c>
      <c r="Q423" s="16">
        <f t="shared" si="1159"/>
        <v>-10</v>
      </c>
      <c r="R423" s="14"/>
      <c r="S423" s="15">
        <f t="shared" si="1168"/>
        <v>0</v>
      </c>
      <c r="T423" s="14"/>
      <c r="U423" s="15">
        <f t="shared" si="1169"/>
        <v>0</v>
      </c>
      <c r="V423" s="16">
        <f t="shared" si="1170"/>
        <v>0</v>
      </c>
      <c r="W423" s="17">
        <f t="shared" si="1171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24</v>
      </c>
      <c r="D424" s="21" t="str">
        <f>Spieltag!B412</f>
        <v>Mats Pannewig</v>
      </c>
      <c r="E424" s="12" t="str">
        <f>Spieltag!C412</f>
        <v>Mittelfeld</v>
      </c>
      <c r="F424" s="13" t="s">
        <v>323</v>
      </c>
      <c r="G424" s="14"/>
      <c r="H424" s="15">
        <f t="shared" ref="H424" si="1172">IF(G424="x",10,0)</f>
        <v>0</v>
      </c>
      <c r="I424" s="14"/>
      <c r="J424" s="15">
        <f t="shared" ref="J424" si="1173">IF((I424="x"),-10,0)</f>
        <v>0</v>
      </c>
      <c r="K424" s="14"/>
      <c r="L424" s="15">
        <f t="shared" ref="L424" si="1174">IF((K424="x"),-20,0)</f>
        <v>0</v>
      </c>
      <c r="M424" s="14"/>
      <c r="N424" s="15">
        <f t="shared" ref="N424" si="1175">IF((M424="x"),-30,0)</f>
        <v>0</v>
      </c>
      <c r="O424" s="16">
        <f t="shared" si="1157"/>
        <v>20</v>
      </c>
      <c r="P424" s="16">
        <f t="shared" si="1158"/>
        <v>30</v>
      </c>
      <c r="Q424" s="16">
        <f t="shared" si="1159"/>
        <v>-10</v>
      </c>
      <c r="R424" s="14"/>
      <c r="S424" s="15">
        <f t="shared" ref="S424" si="1176">R424*10</f>
        <v>0</v>
      </c>
      <c r="T424" s="14"/>
      <c r="U424" s="15">
        <f t="shared" ref="U424" si="1177">T424*-15</f>
        <v>0</v>
      </c>
      <c r="V424" s="16">
        <f t="shared" ref="V424" si="1178">IF(AND(R424=2),10,IF(R424=3,30,IF(R424=4,50,IF(R424=5,70,0))))</f>
        <v>0</v>
      </c>
      <c r="W424" s="17">
        <f t="shared" ref="W424" si="1179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27</v>
      </c>
      <c r="D425" s="21" t="str">
        <f>Spieltag!B413</f>
        <v>Moritz Kwarteng</v>
      </c>
      <c r="E425" s="12" t="str">
        <f>Spieltag!C413</f>
        <v>Mittelfeld</v>
      </c>
      <c r="F425" s="13" t="s">
        <v>323</v>
      </c>
      <c r="G425" s="14"/>
      <c r="H425" s="15">
        <f t="shared" si="1164"/>
        <v>0</v>
      </c>
      <c r="I425" s="14"/>
      <c r="J425" s="15">
        <f t="shared" si="1165"/>
        <v>0</v>
      </c>
      <c r="K425" s="14"/>
      <c r="L425" s="15">
        <f t="shared" si="1166"/>
        <v>0</v>
      </c>
      <c r="M425" s="14"/>
      <c r="N425" s="15">
        <f t="shared" si="1167"/>
        <v>0</v>
      </c>
      <c r="O425" s="16">
        <f t="shared" si="1157"/>
        <v>20</v>
      </c>
      <c r="P425" s="16">
        <f t="shared" si="1158"/>
        <v>30</v>
      </c>
      <c r="Q425" s="16">
        <f t="shared" si="1159"/>
        <v>-10</v>
      </c>
      <c r="R425" s="14"/>
      <c r="S425" s="15">
        <f t="shared" si="1168"/>
        <v>0</v>
      </c>
      <c r="T425" s="14"/>
      <c r="U425" s="15">
        <f t="shared" si="1169"/>
        <v>0</v>
      </c>
      <c r="V425" s="16">
        <f t="shared" si="1170"/>
        <v>0</v>
      </c>
      <c r="W425" s="17">
        <f t="shared" si="1171"/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9</v>
      </c>
      <c r="D426" s="21" t="str">
        <f>Spieltag!B414</f>
        <v>Gonçalo Paciênca (A)</v>
      </c>
      <c r="E426" s="12" t="str">
        <f>Spieltag!C414</f>
        <v>Sturm</v>
      </c>
      <c r="F426" s="13" t="s">
        <v>323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157"/>
        <v>20</v>
      </c>
      <c r="P426" s="16">
        <f t="shared" si="1158"/>
        <v>30</v>
      </c>
      <c r="Q426" s="16">
        <f>IF(($Q$9&lt;&gt;0),$Q$9*-10,5)</f>
        <v>-10</v>
      </c>
      <c r="R426" s="14"/>
      <c r="S426" s="15">
        <f>R426*10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11</v>
      </c>
      <c r="D427" s="21" t="str">
        <f>Spieltag!B415</f>
        <v>Takuma Asano (A)</v>
      </c>
      <c r="E427" s="12" t="str">
        <f>Spieltag!C415</f>
        <v>Sturm</v>
      </c>
      <c r="F427" s="13" t="s">
        <v>323</v>
      </c>
      <c r="G427" s="14"/>
      <c r="H427" s="15">
        <f t="shared" ref="H427:H430" si="1180">IF(G427="x",10,0)</f>
        <v>0</v>
      </c>
      <c r="I427" s="14"/>
      <c r="J427" s="15">
        <f t="shared" ref="J427:J430" si="1181">IF((I427="x"),-10,0)</f>
        <v>0</v>
      </c>
      <c r="K427" s="14"/>
      <c r="L427" s="15">
        <f t="shared" ref="L427:L430" si="1182">IF((K427="x"),-20,0)</f>
        <v>0</v>
      </c>
      <c r="M427" s="14"/>
      <c r="N427" s="15">
        <f t="shared" ref="N427:N430" si="1183">IF((M427="x"),-30,0)</f>
        <v>0</v>
      </c>
      <c r="O427" s="16">
        <f t="shared" si="1157"/>
        <v>20</v>
      </c>
      <c r="P427" s="16">
        <f t="shared" si="1158"/>
        <v>30</v>
      </c>
      <c r="Q427" s="16">
        <f t="shared" ref="Q427:Q430" si="1184">IF(($Q$9&lt;&gt;0),$Q$9*-10,5)</f>
        <v>-10</v>
      </c>
      <c r="R427" s="14"/>
      <c r="S427" s="15">
        <f t="shared" ref="S427:S430" si="1185">R427*10</f>
        <v>0</v>
      </c>
      <c r="T427" s="14"/>
      <c r="U427" s="15">
        <f t="shared" ref="U427:U430" si="1186">T427*-15</f>
        <v>0</v>
      </c>
      <c r="V427" s="16">
        <f t="shared" ref="V427:V430" si="1187">IF(AND(R427=2),10,IF(R427=3,30,IF(R427=4,50,IF(R427=5,70,0))))</f>
        <v>0</v>
      </c>
      <c r="W427" s="17">
        <f t="shared" ref="W427:W430" si="1188"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22</v>
      </c>
      <c r="D428" s="21" t="str">
        <f>Spieltag!B416</f>
        <v>Christopher Antwi-Adjei</v>
      </c>
      <c r="E428" s="12" t="str">
        <f>Spieltag!C416</f>
        <v>Sturm</v>
      </c>
      <c r="F428" s="13" t="s">
        <v>323</v>
      </c>
      <c r="G428" s="14"/>
      <c r="H428" s="15">
        <f t="shared" ref="H428" si="1189">IF(G428="x",10,0)</f>
        <v>0</v>
      </c>
      <c r="I428" s="14"/>
      <c r="J428" s="15">
        <f t="shared" ref="J428" si="1190">IF((I428="x"),-10,0)</f>
        <v>0</v>
      </c>
      <c r="K428" s="14"/>
      <c r="L428" s="15">
        <f t="shared" ref="L428" si="1191">IF((K428="x"),-20,0)</f>
        <v>0</v>
      </c>
      <c r="M428" s="14"/>
      <c r="N428" s="15">
        <f t="shared" ref="N428" si="1192">IF((M428="x"),-30,0)</f>
        <v>0</v>
      </c>
      <c r="O428" s="16">
        <f t="shared" si="1157"/>
        <v>20</v>
      </c>
      <c r="P428" s="16">
        <f t="shared" si="1158"/>
        <v>30</v>
      </c>
      <c r="Q428" s="16">
        <f t="shared" si="1184"/>
        <v>-10</v>
      </c>
      <c r="R428" s="14"/>
      <c r="S428" s="15">
        <f t="shared" ref="S428" si="1193">R428*10</f>
        <v>0</v>
      </c>
      <c r="T428" s="14"/>
      <c r="U428" s="15">
        <f t="shared" ref="U428" si="1194">T428*-15</f>
        <v>0</v>
      </c>
      <c r="V428" s="16">
        <f t="shared" ref="V428" si="1195">IF(AND(R428=2),10,IF(R428=3,30,IF(R428=4,50,IF(R428=5,70,0))))</f>
        <v>0</v>
      </c>
      <c r="W428" s="17">
        <f t="shared" ref="W428" si="1196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29</v>
      </c>
      <c r="D429" s="21" t="str">
        <f>Spieltag!B417</f>
        <v>Moritz Broschinski</v>
      </c>
      <c r="E429" s="12" t="str">
        <f>Spieltag!C417</f>
        <v>Sturm</v>
      </c>
      <c r="F429" s="13" t="s">
        <v>323</v>
      </c>
      <c r="G429" s="14"/>
      <c r="H429" s="15">
        <f t="shared" si="1180"/>
        <v>0</v>
      </c>
      <c r="I429" s="14"/>
      <c r="J429" s="15">
        <f t="shared" si="1181"/>
        <v>0</v>
      </c>
      <c r="K429" s="14"/>
      <c r="L429" s="15">
        <f t="shared" si="1182"/>
        <v>0</v>
      </c>
      <c r="M429" s="14"/>
      <c r="N429" s="15">
        <f t="shared" si="1183"/>
        <v>0</v>
      </c>
      <c r="O429" s="16">
        <f t="shared" si="1157"/>
        <v>20</v>
      </c>
      <c r="P429" s="16">
        <f t="shared" si="1158"/>
        <v>30</v>
      </c>
      <c r="Q429" s="16">
        <f t="shared" si="1184"/>
        <v>-10</v>
      </c>
      <c r="R429" s="14"/>
      <c r="S429" s="15">
        <f t="shared" si="1185"/>
        <v>0</v>
      </c>
      <c r="T429" s="14"/>
      <c r="U429" s="15">
        <f t="shared" si="1186"/>
        <v>0</v>
      </c>
      <c r="V429" s="16">
        <f t="shared" si="1187"/>
        <v>0</v>
      </c>
      <c r="W429" s="17">
        <f t="shared" si="1188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33</v>
      </c>
      <c r="D430" s="21" t="str">
        <f>Spieltag!B418</f>
        <v>Philipp Hofmann</v>
      </c>
      <c r="E430" s="12" t="str">
        <f>Spieltag!C418</f>
        <v>Sturm</v>
      </c>
      <c r="F430" s="13" t="s">
        <v>323</v>
      </c>
      <c r="G430" s="14"/>
      <c r="H430" s="15">
        <f t="shared" si="1180"/>
        <v>0</v>
      </c>
      <c r="I430" s="14"/>
      <c r="J430" s="15">
        <f t="shared" si="1181"/>
        <v>0</v>
      </c>
      <c r="K430" s="14"/>
      <c r="L430" s="15">
        <f t="shared" si="1182"/>
        <v>0</v>
      </c>
      <c r="M430" s="14"/>
      <c r="N430" s="15">
        <f t="shared" si="1183"/>
        <v>0</v>
      </c>
      <c r="O430" s="16">
        <f t="shared" si="1157"/>
        <v>20</v>
      </c>
      <c r="P430" s="16">
        <f t="shared" si="1158"/>
        <v>30</v>
      </c>
      <c r="Q430" s="16">
        <f t="shared" si="1184"/>
        <v>-10</v>
      </c>
      <c r="R430" s="14"/>
      <c r="S430" s="15">
        <f t="shared" si="1185"/>
        <v>0</v>
      </c>
      <c r="T430" s="14"/>
      <c r="U430" s="15">
        <f t="shared" si="1186"/>
        <v>0</v>
      </c>
      <c r="V430" s="16">
        <f t="shared" si="1187"/>
        <v>0</v>
      </c>
      <c r="W430" s="17">
        <f t="shared" si="1188"/>
        <v>0</v>
      </c>
    </row>
    <row r="431" spans="1:23" s="144" customFormat="1" ht="17.25" hidden="1" thickBot="1" x14ac:dyDescent="0.25">
      <c r="A431" s="142"/>
      <c r="B431" s="143">
        <f>SUM(B432:B463)</f>
        <v>0</v>
      </c>
      <c r="C431" s="158"/>
      <c r="D431" s="234" t="s">
        <v>96</v>
      </c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35"/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</v>
      </c>
      <c r="D432" s="21" t="str">
        <f>Spieltag!B420</f>
        <v>Finn Dahmen</v>
      </c>
      <c r="E432" s="12" t="str">
        <f>Spieltag!C420</f>
        <v>Torwart</v>
      </c>
      <c r="F432" s="13" t="s">
        <v>95</v>
      </c>
      <c r="G432" s="14"/>
      <c r="H432" s="15">
        <f t="shared" ref="H432:H435" si="1197">IF(G432="x",10,0)</f>
        <v>0</v>
      </c>
      <c r="I432" s="14"/>
      <c r="J432" s="15">
        <f t="shared" ref="J432:J435" si="1198">IF((I432="x"),-10,0)</f>
        <v>0</v>
      </c>
      <c r="K432" s="14"/>
      <c r="L432" s="15">
        <f t="shared" ref="L432:L435" si="1199">IF((K432="x"),-20,0)</f>
        <v>0</v>
      </c>
      <c r="M432" s="14"/>
      <c r="N432" s="15">
        <f t="shared" ref="N432:N435" si="1200">IF((M432="x"),-30,0)</f>
        <v>0</v>
      </c>
      <c r="O432" s="16">
        <f t="shared" ref="O432:O457" si="1201">IF(AND($V$7&gt;$W$7),20,IF($V$7=$W$7,10,0))</f>
        <v>20</v>
      </c>
      <c r="P432" s="16">
        <f t="shared" ref="P432:P457" si="1202">IF(($V$7&lt;&gt;0),$V$7*10,-5)</f>
        <v>20</v>
      </c>
      <c r="Q432" s="16">
        <f>IF(($W$7&lt;&gt;0),$W$7*-10,20)</f>
        <v>-10</v>
      </c>
      <c r="R432" s="14"/>
      <c r="S432" s="15">
        <f>R432*20</f>
        <v>0</v>
      </c>
      <c r="T432" s="14"/>
      <c r="U432" s="15">
        <f t="shared" ref="U432:U435" si="1203">T432*-15</f>
        <v>0</v>
      </c>
      <c r="V432" s="16">
        <f t="shared" ref="V432:V435" si="1204">IF(AND(R432=2),10,IF(R432=3,30,IF(R432=4,50,IF(R432=5,70,0))))</f>
        <v>0</v>
      </c>
      <c r="W432" s="17">
        <f t="shared" ref="W432:W435" si="1205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33</v>
      </c>
      <c r="D433" s="21" t="str">
        <f>Spieltag!B421</f>
        <v>Marcel Lubik (A)</v>
      </c>
      <c r="E433" s="12" t="str">
        <f>Spieltag!C421</f>
        <v>Torwart</v>
      </c>
      <c r="F433" s="13" t="s">
        <v>95</v>
      </c>
      <c r="G433" s="14"/>
      <c r="H433" s="15">
        <f t="shared" ref="H433:H434" si="1206">IF(G433="x",10,0)</f>
        <v>0</v>
      </c>
      <c r="I433" s="14"/>
      <c r="J433" s="15">
        <f t="shared" ref="J433:J434" si="1207">IF((I433="x"),-10,0)</f>
        <v>0</v>
      </c>
      <c r="K433" s="14"/>
      <c r="L433" s="15">
        <f t="shared" ref="L433:L434" si="1208">IF((K433="x"),-20,0)</f>
        <v>0</v>
      </c>
      <c r="M433" s="14"/>
      <c r="N433" s="15">
        <f t="shared" ref="N433:N434" si="1209">IF((M433="x"),-30,0)</f>
        <v>0</v>
      </c>
      <c r="O433" s="16">
        <f t="shared" si="1201"/>
        <v>20</v>
      </c>
      <c r="P433" s="16">
        <f t="shared" si="1202"/>
        <v>20</v>
      </c>
      <c r="Q433" s="16">
        <f t="shared" ref="Q433:Q434" si="1210">IF(($W$7&lt;&gt;0),$W$7*-10,20)</f>
        <v>-10</v>
      </c>
      <c r="R433" s="14"/>
      <c r="S433" s="15">
        <f t="shared" ref="S433:S434" si="1211">R433*20</f>
        <v>0</v>
      </c>
      <c r="T433" s="14"/>
      <c r="U433" s="15">
        <f t="shared" ref="U433:U434" si="1212">T433*-15</f>
        <v>0</v>
      </c>
      <c r="V433" s="16">
        <f t="shared" ref="V433:V434" si="1213">IF(AND(R433=2),10,IF(R433=3,30,IF(R433=4,50,IF(R433=5,70,0))))</f>
        <v>0</v>
      </c>
      <c r="W433" s="17">
        <f t="shared" ref="W433:W434" si="1214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40</v>
      </c>
      <c r="D434" s="21" t="str">
        <f>Spieltag!B422</f>
        <v>Tomáš Koubek (A)</v>
      </c>
      <c r="E434" s="12" t="str">
        <f>Spieltag!C422</f>
        <v>Torwart</v>
      </c>
      <c r="F434" s="13" t="s">
        <v>95</v>
      </c>
      <c r="G434" s="14"/>
      <c r="H434" s="15">
        <f t="shared" si="1206"/>
        <v>0</v>
      </c>
      <c r="I434" s="14"/>
      <c r="J434" s="15">
        <f t="shared" si="1207"/>
        <v>0</v>
      </c>
      <c r="K434" s="14"/>
      <c r="L434" s="15">
        <f t="shared" si="1208"/>
        <v>0</v>
      </c>
      <c r="M434" s="14"/>
      <c r="N434" s="15">
        <f t="shared" si="1209"/>
        <v>0</v>
      </c>
      <c r="O434" s="16">
        <f t="shared" si="1201"/>
        <v>20</v>
      </c>
      <c r="P434" s="16">
        <f t="shared" si="1202"/>
        <v>20</v>
      </c>
      <c r="Q434" s="16">
        <f t="shared" si="1210"/>
        <v>-10</v>
      </c>
      <c r="R434" s="14"/>
      <c r="S434" s="15">
        <f t="shared" si="1211"/>
        <v>0</v>
      </c>
      <c r="T434" s="14"/>
      <c r="U434" s="15">
        <f t="shared" si="1212"/>
        <v>0</v>
      </c>
      <c r="V434" s="16">
        <f t="shared" si="1213"/>
        <v>0</v>
      </c>
      <c r="W434" s="17">
        <f t="shared" si="1214"/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</v>
      </c>
      <c r="D435" s="21" t="str">
        <f>Spieltag!B423</f>
        <v>Robert Gumny (A)</v>
      </c>
      <c r="E435" s="12" t="str">
        <f>Spieltag!C423</f>
        <v>Abwehr</v>
      </c>
      <c r="F435" s="13" t="s">
        <v>95</v>
      </c>
      <c r="G435" s="14"/>
      <c r="H435" s="15">
        <f t="shared" si="1197"/>
        <v>0</v>
      </c>
      <c r="I435" s="14"/>
      <c r="J435" s="15">
        <f t="shared" si="1198"/>
        <v>0</v>
      </c>
      <c r="K435" s="14"/>
      <c r="L435" s="15">
        <f t="shared" si="1199"/>
        <v>0</v>
      </c>
      <c r="M435" s="14"/>
      <c r="N435" s="15">
        <f t="shared" si="1200"/>
        <v>0</v>
      </c>
      <c r="O435" s="16">
        <f t="shared" si="1201"/>
        <v>20</v>
      </c>
      <c r="P435" s="16">
        <f t="shared" si="1202"/>
        <v>20</v>
      </c>
      <c r="Q435" s="16">
        <f t="shared" ref="Q435:Q448" si="1215">IF(($W$7&lt;&gt;0),$W$7*-10,15)</f>
        <v>-10</v>
      </c>
      <c r="R435" s="14"/>
      <c r="S435" s="15">
        <f>R435*15</f>
        <v>0</v>
      </c>
      <c r="T435" s="14"/>
      <c r="U435" s="15">
        <f t="shared" si="1203"/>
        <v>0</v>
      </c>
      <c r="V435" s="16">
        <f t="shared" si="1204"/>
        <v>0</v>
      </c>
      <c r="W435" s="17">
        <f t="shared" si="1205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3</v>
      </c>
      <c r="D436" s="21" t="str">
        <f>Spieltag!B424</f>
        <v>Mads Pedersen (A)</v>
      </c>
      <c r="E436" s="12" t="str">
        <f>Spieltag!C424</f>
        <v>Abwehr</v>
      </c>
      <c r="F436" s="13" t="s">
        <v>95</v>
      </c>
      <c r="G436" s="14"/>
      <c r="H436" s="15">
        <f t="shared" ref="H436:H448" si="1216">IF(G436="x",10,0)</f>
        <v>0</v>
      </c>
      <c r="I436" s="14"/>
      <c r="J436" s="15">
        <f t="shared" ref="J436:J448" si="1217">IF((I436="x"),-10,0)</f>
        <v>0</v>
      </c>
      <c r="K436" s="14"/>
      <c r="L436" s="15">
        <f t="shared" ref="L436:L448" si="1218">IF((K436="x"),-20,0)</f>
        <v>0</v>
      </c>
      <c r="M436" s="14"/>
      <c r="N436" s="15">
        <f t="shared" ref="N436:N448" si="1219">IF((M436="x"),-30,0)</f>
        <v>0</v>
      </c>
      <c r="O436" s="16">
        <f t="shared" si="1201"/>
        <v>20</v>
      </c>
      <c r="P436" s="16">
        <f t="shared" si="1202"/>
        <v>20</v>
      </c>
      <c r="Q436" s="16">
        <f t="shared" si="1215"/>
        <v>-10</v>
      </c>
      <c r="R436" s="14"/>
      <c r="S436" s="15">
        <f t="shared" ref="S436:S448" si="1220">R436*15</f>
        <v>0</v>
      </c>
      <c r="T436" s="14"/>
      <c r="U436" s="15">
        <f t="shared" ref="U436:U448" si="1221">T436*-15</f>
        <v>0</v>
      </c>
      <c r="V436" s="16">
        <f t="shared" ref="V436:V448" si="1222">IF(AND(R436=2),10,IF(R436=3,30,IF(R436=4,50,IF(R436=5,70,0))))</f>
        <v>0</v>
      </c>
      <c r="W436" s="17">
        <f t="shared" ref="W436:W448" si="1223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4</v>
      </c>
      <c r="D437" s="21" t="str">
        <f>Spieltag!B425</f>
        <v>Reece Oxford (A)</v>
      </c>
      <c r="E437" s="12" t="str">
        <f>Spieltag!C425</f>
        <v>Abwehr</v>
      </c>
      <c r="F437" s="13" t="s">
        <v>95</v>
      </c>
      <c r="G437" s="14"/>
      <c r="H437" s="15">
        <f t="shared" si="1216"/>
        <v>0</v>
      </c>
      <c r="I437" s="14"/>
      <c r="J437" s="15">
        <f t="shared" si="1217"/>
        <v>0</v>
      </c>
      <c r="K437" s="14"/>
      <c r="L437" s="15">
        <f t="shared" si="1218"/>
        <v>0</v>
      </c>
      <c r="M437" s="14"/>
      <c r="N437" s="15">
        <f t="shared" si="1219"/>
        <v>0</v>
      </c>
      <c r="O437" s="16">
        <f t="shared" si="1201"/>
        <v>20</v>
      </c>
      <c r="P437" s="16">
        <f t="shared" si="1202"/>
        <v>20</v>
      </c>
      <c r="Q437" s="16">
        <f t="shared" si="1215"/>
        <v>-10</v>
      </c>
      <c r="R437" s="14"/>
      <c r="S437" s="15">
        <f t="shared" si="1220"/>
        <v>0</v>
      </c>
      <c r="T437" s="14"/>
      <c r="U437" s="15">
        <f t="shared" si="1221"/>
        <v>0</v>
      </c>
      <c r="V437" s="16">
        <f t="shared" si="1222"/>
        <v>0</v>
      </c>
      <c r="W437" s="17">
        <f t="shared" si="122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5</v>
      </c>
      <c r="D438" s="21" t="str">
        <f>Spieltag!B426</f>
        <v>Patric Pfeiffer</v>
      </c>
      <c r="E438" s="12" t="str">
        <f>Spieltag!C426</f>
        <v>Abwehr</v>
      </c>
      <c r="F438" s="13" t="s">
        <v>95</v>
      </c>
      <c r="G438" s="14"/>
      <c r="H438" s="15">
        <f t="shared" si="1216"/>
        <v>0</v>
      </c>
      <c r="I438" s="14"/>
      <c r="J438" s="15">
        <f t="shared" si="1217"/>
        <v>0</v>
      </c>
      <c r="K438" s="14"/>
      <c r="L438" s="15">
        <f t="shared" si="1218"/>
        <v>0</v>
      </c>
      <c r="M438" s="14"/>
      <c r="N438" s="15">
        <f t="shared" si="1219"/>
        <v>0</v>
      </c>
      <c r="O438" s="16">
        <f t="shared" si="1201"/>
        <v>20</v>
      </c>
      <c r="P438" s="16">
        <f t="shared" si="1202"/>
        <v>20</v>
      </c>
      <c r="Q438" s="16">
        <f t="shared" si="1215"/>
        <v>-10</v>
      </c>
      <c r="R438" s="14"/>
      <c r="S438" s="15">
        <f t="shared" si="1220"/>
        <v>0</v>
      </c>
      <c r="T438" s="14"/>
      <c r="U438" s="15">
        <f t="shared" si="1221"/>
        <v>0</v>
      </c>
      <c r="V438" s="16">
        <f t="shared" si="1222"/>
        <v>0</v>
      </c>
      <c r="W438" s="17">
        <f t="shared" si="1223"/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6</v>
      </c>
      <c r="D439" s="21" t="str">
        <f>Spieltag!B427</f>
        <v>Jeffrey Gouweleeuw (A)</v>
      </c>
      <c r="E439" s="12" t="str">
        <f>Spieltag!C427</f>
        <v>Abwehr</v>
      </c>
      <c r="F439" s="13" t="s">
        <v>95</v>
      </c>
      <c r="G439" s="14"/>
      <c r="H439" s="15">
        <f t="shared" si="1216"/>
        <v>0</v>
      </c>
      <c r="I439" s="14"/>
      <c r="J439" s="15">
        <f t="shared" si="1217"/>
        <v>0</v>
      </c>
      <c r="K439" s="14"/>
      <c r="L439" s="15">
        <f t="shared" si="1218"/>
        <v>0</v>
      </c>
      <c r="M439" s="14"/>
      <c r="N439" s="15">
        <f t="shared" si="1219"/>
        <v>0</v>
      </c>
      <c r="O439" s="16">
        <f t="shared" si="1201"/>
        <v>20</v>
      </c>
      <c r="P439" s="16">
        <f t="shared" si="1202"/>
        <v>20</v>
      </c>
      <c r="Q439" s="16">
        <f t="shared" si="1215"/>
        <v>-10</v>
      </c>
      <c r="R439" s="14"/>
      <c r="S439" s="15">
        <f t="shared" si="1220"/>
        <v>0</v>
      </c>
      <c r="T439" s="14"/>
      <c r="U439" s="15">
        <f t="shared" si="1221"/>
        <v>0</v>
      </c>
      <c r="V439" s="16">
        <f t="shared" si="1222"/>
        <v>0</v>
      </c>
      <c r="W439" s="17">
        <f t="shared" si="1223"/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19</v>
      </c>
      <c r="D440" s="21" t="str">
        <f>Spieltag!B428</f>
        <v>Felix Uduokhai</v>
      </c>
      <c r="E440" s="12" t="str">
        <f>Spieltag!C428</f>
        <v>Abwehr</v>
      </c>
      <c r="F440" s="13" t="s">
        <v>95</v>
      </c>
      <c r="G440" s="14"/>
      <c r="H440" s="15">
        <f t="shared" si="1216"/>
        <v>0</v>
      </c>
      <c r="I440" s="14"/>
      <c r="J440" s="15">
        <f t="shared" si="1217"/>
        <v>0</v>
      </c>
      <c r="K440" s="14"/>
      <c r="L440" s="15">
        <f t="shared" si="1218"/>
        <v>0</v>
      </c>
      <c r="M440" s="14"/>
      <c r="N440" s="15">
        <f t="shared" si="1219"/>
        <v>0</v>
      </c>
      <c r="O440" s="16">
        <f t="shared" si="1201"/>
        <v>20</v>
      </c>
      <c r="P440" s="16">
        <f t="shared" si="1202"/>
        <v>20</v>
      </c>
      <c r="Q440" s="16">
        <f t="shared" si="1215"/>
        <v>-10</v>
      </c>
      <c r="R440" s="14"/>
      <c r="S440" s="15">
        <f t="shared" si="1220"/>
        <v>0</v>
      </c>
      <c r="T440" s="14"/>
      <c r="U440" s="15">
        <f t="shared" si="1221"/>
        <v>0</v>
      </c>
      <c r="V440" s="16">
        <f t="shared" si="1222"/>
        <v>0</v>
      </c>
      <c r="W440" s="17">
        <f t="shared" si="1223"/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22</v>
      </c>
      <c r="D441" s="21" t="str">
        <f>Spieltag!B429</f>
        <v>Iago (A)</v>
      </c>
      <c r="E441" s="12" t="str">
        <f>Spieltag!C429</f>
        <v>Abwehr</v>
      </c>
      <c r="F441" s="13" t="s">
        <v>95</v>
      </c>
      <c r="G441" s="14"/>
      <c r="H441" s="15">
        <f t="shared" si="1216"/>
        <v>0</v>
      </c>
      <c r="I441" s="14"/>
      <c r="J441" s="15">
        <f t="shared" si="1217"/>
        <v>0</v>
      </c>
      <c r="K441" s="14"/>
      <c r="L441" s="15">
        <f t="shared" si="1218"/>
        <v>0</v>
      </c>
      <c r="M441" s="14"/>
      <c r="N441" s="15">
        <f t="shared" si="1219"/>
        <v>0</v>
      </c>
      <c r="O441" s="16">
        <f t="shared" si="1201"/>
        <v>20</v>
      </c>
      <c r="P441" s="16">
        <f t="shared" si="1202"/>
        <v>20</v>
      </c>
      <c r="Q441" s="16">
        <f t="shared" si="1215"/>
        <v>-10</v>
      </c>
      <c r="R441" s="14"/>
      <c r="S441" s="15">
        <f t="shared" si="1220"/>
        <v>0</v>
      </c>
      <c r="T441" s="14"/>
      <c r="U441" s="15">
        <f t="shared" si="1221"/>
        <v>0</v>
      </c>
      <c r="V441" s="16">
        <f t="shared" si="1222"/>
        <v>0</v>
      </c>
      <c r="W441" s="17">
        <f t="shared" si="1223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23</v>
      </c>
      <c r="D442" s="21" t="str">
        <f>Spieltag!B430</f>
        <v>Maximilian Bauer</v>
      </c>
      <c r="E442" s="12" t="str">
        <f>Spieltag!C430</f>
        <v>Abwehr</v>
      </c>
      <c r="F442" s="13" t="s">
        <v>95</v>
      </c>
      <c r="G442" s="14"/>
      <c r="H442" s="15">
        <f t="shared" si="1216"/>
        <v>0</v>
      </c>
      <c r="I442" s="14"/>
      <c r="J442" s="15">
        <f t="shared" si="1217"/>
        <v>0</v>
      </c>
      <c r="K442" s="14"/>
      <c r="L442" s="15">
        <f t="shared" si="1218"/>
        <v>0</v>
      </c>
      <c r="M442" s="14"/>
      <c r="N442" s="15">
        <f t="shared" si="1219"/>
        <v>0</v>
      </c>
      <c r="O442" s="16">
        <f t="shared" si="1201"/>
        <v>20</v>
      </c>
      <c r="P442" s="16">
        <f t="shared" si="1202"/>
        <v>20</v>
      </c>
      <c r="Q442" s="16">
        <f t="shared" si="1215"/>
        <v>-10</v>
      </c>
      <c r="R442" s="14"/>
      <c r="S442" s="15">
        <f t="shared" si="1220"/>
        <v>0</v>
      </c>
      <c r="T442" s="14"/>
      <c r="U442" s="15">
        <f t="shared" si="1221"/>
        <v>0</v>
      </c>
      <c r="V442" s="16">
        <f t="shared" si="1222"/>
        <v>0</v>
      </c>
      <c r="W442" s="17">
        <f t="shared" si="1223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26</v>
      </c>
      <c r="D443" s="21" t="str">
        <f>Spieltag!B431</f>
        <v>Frederik Winther (A)</v>
      </c>
      <c r="E443" s="12" t="str">
        <f>Spieltag!C431</f>
        <v>Abwehr</v>
      </c>
      <c r="F443" s="13" t="s">
        <v>95</v>
      </c>
      <c r="G443" s="14"/>
      <c r="H443" s="15">
        <f t="shared" si="1216"/>
        <v>0</v>
      </c>
      <c r="I443" s="14"/>
      <c r="J443" s="15">
        <f t="shared" si="1217"/>
        <v>0</v>
      </c>
      <c r="K443" s="14"/>
      <c r="L443" s="15">
        <f t="shared" si="1218"/>
        <v>0</v>
      </c>
      <c r="M443" s="14"/>
      <c r="N443" s="15">
        <f t="shared" si="1219"/>
        <v>0</v>
      </c>
      <c r="O443" s="16">
        <f t="shared" si="1201"/>
        <v>20</v>
      </c>
      <c r="P443" s="16">
        <f t="shared" si="1202"/>
        <v>20</v>
      </c>
      <c r="Q443" s="16">
        <f t="shared" si="1215"/>
        <v>-10</v>
      </c>
      <c r="R443" s="14"/>
      <c r="S443" s="15">
        <f t="shared" si="1220"/>
        <v>0</v>
      </c>
      <c r="T443" s="14"/>
      <c r="U443" s="15">
        <f t="shared" si="1221"/>
        <v>0</v>
      </c>
      <c r="V443" s="16">
        <f t="shared" si="1222"/>
        <v>0</v>
      </c>
      <c r="W443" s="17">
        <f t="shared" si="1223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32</v>
      </c>
      <c r="D444" s="21" t="str">
        <f>Spieltag!B432</f>
        <v>Raphael Framberger</v>
      </c>
      <c r="E444" s="12" t="str">
        <f>Spieltag!C432</f>
        <v>Abwehr</v>
      </c>
      <c r="F444" s="13" t="s">
        <v>95</v>
      </c>
      <c r="G444" s="14"/>
      <c r="H444" s="15">
        <f t="shared" si="1216"/>
        <v>0</v>
      </c>
      <c r="I444" s="14"/>
      <c r="J444" s="15">
        <f t="shared" si="1217"/>
        <v>0</v>
      </c>
      <c r="K444" s="14"/>
      <c r="L444" s="15">
        <f t="shared" si="1218"/>
        <v>0</v>
      </c>
      <c r="M444" s="14"/>
      <c r="N444" s="15">
        <f t="shared" si="1219"/>
        <v>0</v>
      </c>
      <c r="O444" s="16">
        <f t="shared" si="1201"/>
        <v>20</v>
      </c>
      <c r="P444" s="16">
        <f t="shared" si="1202"/>
        <v>20</v>
      </c>
      <c r="Q444" s="16">
        <f t="shared" si="1215"/>
        <v>-10</v>
      </c>
      <c r="R444" s="14"/>
      <c r="S444" s="15">
        <f t="shared" si="1220"/>
        <v>0</v>
      </c>
      <c r="T444" s="14"/>
      <c r="U444" s="15">
        <f t="shared" si="1221"/>
        <v>0</v>
      </c>
      <c r="V444" s="16">
        <f t="shared" si="1222"/>
        <v>0</v>
      </c>
      <c r="W444" s="17">
        <f t="shared" si="1223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38</v>
      </c>
      <c r="D445" s="21" t="str">
        <f>Spieltag!B433</f>
        <v>David Čolina (A)</v>
      </c>
      <c r="E445" s="12" t="str">
        <f>Spieltag!C433</f>
        <v>Abwehr</v>
      </c>
      <c r="F445" s="13" t="s">
        <v>95</v>
      </c>
      <c r="G445" s="14"/>
      <c r="H445" s="15">
        <f t="shared" si="1216"/>
        <v>0</v>
      </c>
      <c r="I445" s="14"/>
      <c r="J445" s="15">
        <f t="shared" si="1217"/>
        <v>0</v>
      </c>
      <c r="K445" s="14"/>
      <c r="L445" s="15">
        <f t="shared" si="1218"/>
        <v>0</v>
      </c>
      <c r="M445" s="14"/>
      <c r="N445" s="15">
        <f t="shared" si="1219"/>
        <v>0</v>
      </c>
      <c r="O445" s="16">
        <f t="shared" si="1201"/>
        <v>20</v>
      </c>
      <c r="P445" s="16">
        <f t="shared" si="1202"/>
        <v>20</v>
      </c>
      <c r="Q445" s="16">
        <f t="shared" si="1215"/>
        <v>-10</v>
      </c>
      <c r="R445" s="14"/>
      <c r="S445" s="15">
        <f t="shared" si="1220"/>
        <v>0</v>
      </c>
      <c r="T445" s="14"/>
      <c r="U445" s="15">
        <f t="shared" si="1221"/>
        <v>0</v>
      </c>
      <c r="V445" s="16">
        <f t="shared" si="1222"/>
        <v>0</v>
      </c>
      <c r="W445" s="17">
        <f t="shared" si="1223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39</v>
      </c>
      <c r="D446" s="21" t="str">
        <f>Spieltag!B434</f>
        <v>Japhet Tanganga (A)</v>
      </c>
      <c r="E446" s="12" t="str">
        <f>Spieltag!C434</f>
        <v>Abwehr</v>
      </c>
      <c r="F446" s="13" t="s">
        <v>95</v>
      </c>
      <c r="G446" s="14"/>
      <c r="H446" s="15">
        <f t="shared" si="1216"/>
        <v>0</v>
      </c>
      <c r="I446" s="14"/>
      <c r="J446" s="15">
        <f t="shared" si="1217"/>
        <v>0</v>
      </c>
      <c r="K446" s="14"/>
      <c r="L446" s="15">
        <f t="shared" si="1218"/>
        <v>0</v>
      </c>
      <c r="M446" s="14"/>
      <c r="N446" s="15">
        <f t="shared" si="1219"/>
        <v>0</v>
      </c>
      <c r="O446" s="16">
        <f t="shared" si="1201"/>
        <v>20</v>
      </c>
      <c r="P446" s="16">
        <f t="shared" si="1202"/>
        <v>20</v>
      </c>
      <c r="Q446" s="16">
        <f t="shared" si="1215"/>
        <v>-10</v>
      </c>
      <c r="R446" s="14"/>
      <c r="S446" s="15">
        <f t="shared" si="1220"/>
        <v>0</v>
      </c>
      <c r="T446" s="14"/>
      <c r="U446" s="15">
        <f t="shared" si="1221"/>
        <v>0</v>
      </c>
      <c r="V446" s="16">
        <f t="shared" si="1222"/>
        <v>0</v>
      </c>
      <c r="W446" s="17">
        <f t="shared" si="1223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42</v>
      </c>
      <c r="D447" s="21" t="str">
        <f>Spieltag!B435</f>
        <v>Aaron Zehnter</v>
      </c>
      <c r="E447" s="12" t="str">
        <f>Spieltag!C435</f>
        <v>Abwehr</v>
      </c>
      <c r="F447" s="13" t="s">
        <v>95</v>
      </c>
      <c r="G447" s="14"/>
      <c r="H447" s="15">
        <f t="shared" ref="H447" si="1224">IF(G447="x",10,0)</f>
        <v>0</v>
      </c>
      <c r="I447" s="14"/>
      <c r="J447" s="15">
        <f t="shared" ref="J447" si="1225">IF((I447="x"),-10,0)</f>
        <v>0</v>
      </c>
      <c r="K447" s="14"/>
      <c r="L447" s="15">
        <f t="shared" ref="L447" si="1226">IF((K447="x"),-20,0)</f>
        <v>0</v>
      </c>
      <c r="M447" s="14"/>
      <c r="N447" s="15">
        <f t="shared" ref="N447" si="1227">IF((M447="x"),-30,0)</f>
        <v>0</v>
      </c>
      <c r="O447" s="16">
        <f t="shared" si="1201"/>
        <v>20</v>
      </c>
      <c r="P447" s="16">
        <f t="shared" si="1202"/>
        <v>20</v>
      </c>
      <c r="Q447" s="16">
        <f t="shared" si="1215"/>
        <v>-10</v>
      </c>
      <c r="R447" s="14"/>
      <c r="S447" s="15">
        <f t="shared" ref="S447" si="1228">R447*15</f>
        <v>0</v>
      </c>
      <c r="T447" s="14"/>
      <c r="U447" s="15">
        <f t="shared" ref="U447" si="1229">T447*-15</f>
        <v>0</v>
      </c>
      <c r="V447" s="16">
        <f t="shared" ref="V447" si="1230">IF(AND(R447=2),10,IF(R447=3,30,IF(R447=4,50,IF(R447=5,70,0))))</f>
        <v>0</v>
      </c>
      <c r="W447" s="17">
        <f t="shared" ref="W447" si="1231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43</v>
      </c>
      <c r="D448" s="21" t="str">
        <f>Spieltag!B436</f>
        <v>Kevin Mbabu (A)</v>
      </c>
      <c r="E448" s="12" t="str">
        <f>Spieltag!C436</f>
        <v>Abwehr</v>
      </c>
      <c r="F448" s="13" t="s">
        <v>95</v>
      </c>
      <c r="G448" s="14"/>
      <c r="H448" s="15">
        <f t="shared" si="1216"/>
        <v>0</v>
      </c>
      <c r="I448" s="14"/>
      <c r="J448" s="15">
        <f t="shared" si="1217"/>
        <v>0</v>
      </c>
      <c r="K448" s="14"/>
      <c r="L448" s="15">
        <f t="shared" si="1218"/>
        <v>0</v>
      </c>
      <c r="M448" s="14"/>
      <c r="N448" s="15">
        <f t="shared" si="1219"/>
        <v>0</v>
      </c>
      <c r="O448" s="16">
        <f t="shared" si="1201"/>
        <v>20</v>
      </c>
      <c r="P448" s="16">
        <f t="shared" si="1202"/>
        <v>20</v>
      </c>
      <c r="Q448" s="16">
        <f t="shared" si="1215"/>
        <v>-10</v>
      </c>
      <c r="R448" s="14"/>
      <c r="S448" s="15">
        <f t="shared" si="1220"/>
        <v>0</v>
      </c>
      <c r="T448" s="14"/>
      <c r="U448" s="15">
        <f t="shared" si="1221"/>
        <v>0</v>
      </c>
      <c r="V448" s="16">
        <f t="shared" si="1222"/>
        <v>0</v>
      </c>
      <c r="W448" s="17">
        <f t="shared" si="1223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8</v>
      </c>
      <c r="D449" s="21" t="str">
        <f>Spieltag!B437</f>
        <v>Elvis Rexhbecaj</v>
      </c>
      <c r="E449" s="12" t="str">
        <f>Spieltag!C437</f>
        <v>Mittelfeld</v>
      </c>
      <c r="F449" s="13" t="s">
        <v>95</v>
      </c>
      <c r="G449" s="14"/>
      <c r="H449" s="15">
        <f>IF(G449="x",10,0)</f>
        <v>0</v>
      </c>
      <c r="I449" s="14"/>
      <c r="J449" s="15">
        <f>IF((I449="x"),-10,0)</f>
        <v>0</v>
      </c>
      <c r="K449" s="14"/>
      <c r="L449" s="15">
        <f>IF((K449="x"),-20,0)</f>
        <v>0</v>
      </c>
      <c r="M449" s="14"/>
      <c r="N449" s="15">
        <f>IF((M449="x"),-30,0)</f>
        <v>0</v>
      </c>
      <c r="O449" s="16">
        <f t="shared" si="1201"/>
        <v>20</v>
      </c>
      <c r="P449" s="16">
        <f t="shared" si="1202"/>
        <v>20</v>
      </c>
      <c r="Q449" s="16">
        <f t="shared" ref="Q449:Q457" si="1232">IF(($W$7&lt;&gt;0),$W$7*-10,10)</f>
        <v>-10</v>
      </c>
      <c r="R449" s="14"/>
      <c r="S449" s="15">
        <f>R449*10</f>
        <v>0</v>
      </c>
      <c r="T449" s="14"/>
      <c r="U449" s="15">
        <f>T449*-15</f>
        <v>0</v>
      </c>
      <c r="V449" s="16">
        <f>IF(AND(R449=2),10,IF(R449=3,30,IF(R449=4,50,IF(R449=5,70,0))))</f>
        <v>0</v>
      </c>
      <c r="W449" s="17">
        <f>IF(G449="x",H449+J449+L449+N449+O449+P449+Q449+S449+U449+V449,0)</f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10</v>
      </c>
      <c r="D450" s="21" t="str">
        <f>Spieltag!B438</f>
        <v>Arne Maier</v>
      </c>
      <c r="E450" s="12" t="str">
        <f>Spieltag!C438</f>
        <v>Mittelfeld</v>
      </c>
      <c r="F450" s="13" t="s">
        <v>95</v>
      </c>
      <c r="G450" s="14"/>
      <c r="H450" s="15">
        <f t="shared" ref="H450:H457" si="1233">IF(G450="x",10,0)</f>
        <v>0</v>
      </c>
      <c r="I450" s="14"/>
      <c r="J450" s="15">
        <f t="shared" ref="J450:J457" si="1234">IF((I450="x"),-10,0)</f>
        <v>0</v>
      </c>
      <c r="K450" s="14"/>
      <c r="L450" s="15">
        <f t="shared" ref="L450:L457" si="1235">IF((K450="x"),-20,0)</f>
        <v>0</v>
      </c>
      <c r="M450" s="14"/>
      <c r="N450" s="15">
        <f t="shared" ref="N450:N457" si="1236">IF((M450="x"),-30,0)</f>
        <v>0</v>
      </c>
      <c r="O450" s="16">
        <f t="shared" si="1201"/>
        <v>20</v>
      </c>
      <c r="P450" s="16">
        <f t="shared" si="1202"/>
        <v>20</v>
      </c>
      <c r="Q450" s="16">
        <f t="shared" si="1232"/>
        <v>-10</v>
      </c>
      <c r="R450" s="14"/>
      <c r="S450" s="15">
        <f t="shared" ref="S450:S457" si="1237">R450*10</f>
        <v>0</v>
      </c>
      <c r="T450" s="14"/>
      <c r="U450" s="15">
        <f t="shared" ref="U450:U457" si="1238">T450*-15</f>
        <v>0</v>
      </c>
      <c r="V450" s="16">
        <f t="shared" ref="V450:V457" si="1239">IF(AND(R450=2),10,IF(R450=3,30,IF(R450=4,50,IF(R450=5,70,0))))</f>
        <v>0</v>
      </c>
      <c r="W450" s="17">
        <f t="shared" ref="W450:W457" si="1240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14</v>
      </c>
      <c r="D451" s="21" t="str">
        <f>Spieltag!B439</f>
        <v>Masaya Okugawa (A)</v>
      </c>
      <c r="E451" s="12" t="str">
        <f>Spieltag!C439</f>
        <v>Mittelfeld</v>
      </c>
      <c r="F451" s="13" t="s">
        <v>95</v>
      </c>
      <c r="G451" s="14"/>
      <c r="H451" s="15">
        <f t="shared" si="1233"/>
        <v>0</v>
      </c>
      <c r="I451" s="14"/>
      <c r="J451" s="15">
        <f t="shared" si="1234"/>
        <v>0</v>
      </c>
      <c r="K451" s="14"/>
      <c r="L451" s="15">
        <f t="shared" si="1235"/>
        <v>0</v>
      </c>
      <c r="M451" s="14"/>
      <c r="N451" s="15">
        <f t="shared" si="1236"/>
        <v>0</v>
      </c>
      <c r="O451" s="16">
        <f t="shared" si="1201"/>
        <v>20</v>
      </c>
      <c r="P451" s="16">
        <f t="shared" si="1202"/>
        <v>20</v>
      </c>
      <c r="Q451" s="16">
        <f t="shared" si="1232"/>
        <v>-10</v>
      </c>
      <c r="R451" s="14"/>
      <c r="S451" s="15">
        <f t="shared" si="1237"/>
        <v>0</v>
      </c>
      <c r="T451" s="14"/>
      <c r="U451" s="15">
        <f t="shared" si="1238"/>
        <v>0</v>
      </c>
      <c r="V451" s="16">
        <f t="shared" si="1239"/>
        <v>0</v>
      </c>
      <c r="W451" s="17">
        <f t="shared" si="1240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16</v>
      </c>
      <c r="D452" s="21" t="str">
        <f>Spieltag!B440</f>
        <v>Ruben Vargas (A)</v>
      </c>
      <c r="E452" s="12" t="str">
        <f>Spieltag!C440</f>
        <v>Mittelfeld</v>
      </c>
      <c r="F452" s="13" t="s">
        <v>95</v>
      </c>
      <c r="G452" s="14"/>
      <c r="H452" s="15">
        <f t="shared" si="1233"/>
        <v>0</v>
      </c>
      <c r="I452" s="14"/>
      <c r="J452" s="15">
        <f t="shared" si="1234"/>
        <v>0</v>
      </c>
      <c r="K452" s="14"/>
      <c r="L452" s="15">
        <f t="shared" si="1235"/>
        <v>0</v>
      </c>
      <c r="M452" s="14"/>
      <c r="N452" s="15">
        <f t="shared" si="1236"/>
        <v>0</v>
      </c>
      <c r="O452" s="16">
        <f t="shared" si="1201"/>
        <v>20</v>
      </c>
      <c r="P452" s="16">
        <f t="shared" si="1202"/>
        <v>20</v>
      </c>
      <c r="Q452" s="16">
        <f t="shared" si="1232"/>
        <v>-10</v>
      </c>
      <c r="R452" s="14"/>
      <c r="S452" s="15">
        <f t="shared" si="1237"/>
        <v>0</v>
      </c>
      <c r="T452" s="14"/>
      <c r="U452" s="15">
        <f t="shared" si="1238"/>
        <v>0</v>
      </c>
      <c r="V452" s="16">
        <f t="shared" si="1239"/>
        <v>0</v>
      </c>
      <c r="W452" s="17">
        <f t="shared" si="1240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18</v>
      </c>
      <c r="D453" s="21" t="str">
        <f>Spieltag!B441</f>
        <v>Tim Breithaupt</v>
      </c>
      <c r="E453" s="12" t="str">
        <f>Spieltag!C441</f>
        <v>Mittelfeld</v>
      </c>
      <c r="F453" s="13" t="s">
        <v>95</v>
      </c>
      <c r="G453" s="14"/>
      <c r="H453" s="15">
        <f t="shared" si="1233"/>
        <v>0</v>
      </c>
      <c r="I453" s="14"/>
      <c r="J453" s="15">
        <f t="shared" si="1234"/>
        <v>0</v>
      </c>
      <c r="K453" s="14"/>
      <c r="L453" s="15">
        <f t="shared" si="1235"/>
        <v>0</v>
      </c>
      <c r="M453" s="14"/>
      <c r="N453" s="15">
        <f t="shared" si="1236"/>
        <v>0</v>
      </c>
      <c r="O453" s="16">
        <f t="shared" si="1201"/>
        <v>20</v>
      </c>
      <c r="P453" s="16">
        <f t="shared" si="1202"/>
        <v>20</v>
      </c>
      <c r="Q453" s="16">
        <f t="shared" si="1232"/>
        <v>-10</v>
      </c>
      <c r="R453" s="14"/>
      <c r="S453" s="15">
        <f t="shared" si="1237"/>
        <v>0</v>
      </c>
      <c r="T453" s="14"/>
      <c r="U453" s="15">
        <f t="shared" si="1238"/>
        <v>0</v>
      </c>
      <c r="V453" s="16">
        <f t="shared" si="1239"/>
        <v>0</v>
      </c>
      <c r="W453" s="17">
        <f t="shared" si="1240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24</v>
      </c>
      <c r="D454" s="21" t="str">
        <f>Spieltag!B442</f>
        <v>Fredrik Jensen (A)</v>
      </c>
      <c r="E454" s="12" t="str">
        <f>Spieltag!C442</f>
        <v>Mittelfeld</v>
      </c>
      <c r="F454" s="13" t="s">
        <v>95</v>
      </c>
      <c r="G454" s="14"/>
      <c r="H454" s="15">
        <f t="shared" si="1233"/>
        <v>0</v>
      </c>
      <c r="I454" s="14"/>
      <c r="J454" s="15">
        <f t="shared" si="1234"/>
        <v>0</v>
      </c>
      <c r="K454" s="14"/>
      <c r="L454" s="15">
        <f t="shared" si="1235"/>
        <v>0</v>
      </c>
      <c r="M454" s="14"/>
      <c r="N454" s="15">
        <f t="shared" si="1236"/>
        <v>0</v>
      </c>
      <c r="O454" s="16">
        <f t="shared" si="1201"/>
        <v>20</v>
      </c>
      <c r="P454" s="16">
        <f t="shared" si="1202"/>
        <v>20</v>
      </c>
      <c r="Q454" s="16">
        <f t="shared" si="1232"/>
        <v>-10</v>
      </c>
      <c r="R454" s="14"/>
      <c r="S454" s="15">
        <f t="shared" si="1237"/>
        <v>0</v>
      </c>
      <c r="T454" s="14"/>
      <c r="U454" s="15">
        <f t="shared" si="1238"/>
        <v>0</v>
      </c>
      <c r="V454" s="16">
        <f t="shared" si="1239"/>
        <v>0</v>
      </c>
      <c r="W454" s="17">
        <f t="shared" si="1240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27</v>
      </c>
      <c r="D455" s="21" t="str">
        <f>Spieltag!B443</f>
        <v>Arne Engels (A)</v>
      </c>
      <c r="E455" s="12" t="str">
        <f>Spieltag!C443</f>
        <v>Mittelfeld</v>
      </c>
      <c r="F455" s="13" t="s">
        <v>95</v>
      </c>
      <c r="G455" s="14"/>
      <c r="H455" s="15">
        <f t="shared" si="1233"/>
        <v>0</v>
      </c>
      <c r="I455" s="14"/>
      <c r="J455" s="15">
        <f t="shared" si="1234"/>
        <v>0</v>
      </c>
      <c r="K455" s="14"/>
      <c r="L455" s="15">
        <f t="shared" si="1235"/>
        <v>0</v>
      </c>
      <c r="M455" s="14"/>
      <c r="N455" s="15">
        <f t="shared" si="1236"/>
        <v>0</v>
      </c>
      <c r="O455" s="16">
        <f t="shared" si="1201"/>
        <v>20</v>
      </c>
      <c r="P455" s="16">
        <f t="shared" si="1202"/>
        <v>20</v>
      </c>
      <c r="Q455" s="16">
        <f t="shared" si="1232"/>
        <v>-10</v>
      </c>
      <c r="R455" s="14"/>
      <c r="S455" s="15">
        <f t="shared" si="1237"/>
        <v>0</v>
      </c>
      <c r="T455" s="14"/>
      <c r="U455" s="15">
        <f t="shared" si="1238"/>
        <v>0</v>
      </c>
      <c r="V455" s="16">
        <f t="shared" si="1239"/>
        <v>0</v>
      </c>
      <c r="W455" s="17">
        <f t="shared" si="1240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30</v>
      </c>
      <c r="D456" s="21" t="str">
        <f>Spieltag!B444</f>
        <v>Niklas Dorsch</v>
      </c>
      <c r="E456" s="12" t="str">
        <f>Spieltag!C444</f>
        <v>Mittelfeld</v>
      </c>
      <c r="F456" s="13" t="s">
        <v>95</v>
      </c>
      <c r="G456" s="14"/>
      <c r="H456" s="15">
        <f t="shared" si="1233"/>
        <v>0</v>
      </c>
      <c r="I456" s="14"/>
      <c r="J456" s="15">
        <f t="shared" si="1234"/>
        <v>0</v>
      </c>
      <c r="K456" s="14"/>
      <c r="L456" s="15">
        <f t="shared" si="1235"/>
        <v>0</v>
      </c>
      <c r="M456" s="14"/>
      <c r="N456" s="15">
        <f t="shared" si="1236"/>
        <v>0</v>
      </c>
      <c r="O456" s="16">
        <f t="shared" si="1201"/>
        <v>20</v>
      </c>
      <c r="P456" s="16">
        <f t="shared" si="1202"/>
        <v>20</v>
      </c>
      <c r="Q456" s="16">
        <f t="shared" si="1232"/>
        <v>-10</v>
      </c>
      <c r="R456" s="14"/>
      <c r="S456" s="15">
        <f t="shared" si="1237"/>
        <v>0</v>
      </c>
      <c r="T456" s="14"/>
      <c r="U456" s="15">
        <f t="shared" si="1238"/>
        <v>0</v>
      </c>
      <c r="V456" s="16">
        <f t="shared" si="1239"/>
        <v>0</v>
      </c>
      <c r="W456" s="17">
        <f t="shared" si="1240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36</v>
      </c>
      <c r="D457" s="21" t="str">
        <f>Spieltag!B445</f>
        <v>Mert Kömür</v>
      </c>
      <c r="E457" s="12" t="str">
        <f>Spieltag!C445</f>
        <v>Mittelfeld</v>
      </c>
      <c r="F457" s="13" t="s">
        <v>95</v>
      </c>
      <c r="G457" s="14"/>
      <c r="H457" s="15">
        <f t="shared" si="1233"/>
        <v>0</v>
      </c>
      <c r="I457" s="14"/>
      <c r="J457" s="15">
        <f t="shared" si="1234"/>
        <v>0</v>
      </c>
      <c r="K457" s="14"/>
      <c r="L457" s="15">
        <f t="shared" si="1235"/>
        <v>0</v>
      </c>
      <c r="M457" s="14"/>
      <c r="N457" s="15">
        <f t="shared" si="1236"/>
        <v>0</v>
      </c>
      <c r="O457" s="16">
        <f t="shared" si="1201"/>
        <v>20</v>
      </c>
      <c r="P457" s="16">
        <f t="shared" si="1202"/>
        <v>20</v>
      </c>
      <c r="Q457" s="16">
        <f t="shared" si="1232"/>
        <v>-10</v>
      </c>
      <c r="R457" s="14"/>
      <c r="S457" s="15">
        <f t="shared" si="1237"/>
        <v>0</v>
      </c>
      <c r="T457" s="14"/>
      <c r="U457" s="15">
        <f t="shared" si="1238"/>
        <v>0</v>
      </c>
      <c r="V457" s="16">
        <f t="shared" si="1239"/>
        <v>0</v>
      </c>
      <c r="W457" s="17">
        <f t="shared" si="1240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7</v>
      </c>
      <c r="D458" s="21" t="str">
        <f>Spieltag!B446</f>
        <v>Dion Beljo (A)</v>
      </c>
      <c r="E458" s="12" t="str">
        <f>Spieltag!C446</f>
        <v>Sturm</v>
      </c>
      <c r="F458" s="13" t="s">
        <v>95</v>
      </c>
      <c r="G458" s="14"/>
      <c r="H458" s="15">
        <f>IF(G458="x",10,0)</f>
        <v>0</v>
      </c>
      <c r="I458" s="14"/>
      <c r="J458" s="15">
        <f>IF((I458="x"),-10,0)</f>
        <v>0</v>
      </c>
      <c r="K458" s="14"/>
      <c r="L458" s="15">
        <f>IF((K458="x"),-20,0)</f>
        <v>0</v>
      </c>
      <c r="M458" s="14"/>
      <c r="N458" s="15">
        <f>IF((M458="x"),-30,0)</f>
        <v>0</v>
      </c>
      <c r="O458" s="16">
        <f t="shared" ref="O458:O463" si="1241">IF(AND($V$7&gt;$W$7),20,IF($V$7=$W$7,10,0))</f>
        <v>20</v>
      </c>
      <c r="P458" s="16">
        <f t="shared" ref="P458:P463" si="1242">IF(($V$7&lt;&gt;0),$V$7*10,-5)</f>
        <v>20</v>
      </c>
      <c r="Q458" s="16">
        <f t="shared" ref="Q458:Q463" si="1243">IF(($W$7&lt;&gt;0),$W$7*-10,5)</f>
        <v>-10</v>
      </c>
      <c r="R458" s="14"/>
      <c r="S458" s="15">
        <f>R458*10</f>
        <v>0</v>
      </c>
      <c r="T458" s="14"/>
      <c r="U458" s="15">
        <f>T458*-15</f>
        <v>0</v>
      </c>
      <c r="V458" s="16">
        <f>IF(AND(R458=2),10,IF(R458=3,30,IF(R458=4,50,IF(R458=5,70,0))))</f>
        <v>0</v>
      </c>
      <c r="W458" s="17">
        <f>IF(G458="x",H458+J458+L458+N458+O458+P458+Q458+S458+U458+V458,0)</f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9</v>
      </c>
      <c r="D459" s="21" t="str">
        <f>Spieltag!B447</f>
        <v>Ermedin Demirović (A)</v>
      </c>
      <c r="E459" s="12" t="str">
        <f>Spieltag!C447</f>
        <v>Sturm</v>
      </c>
      <c r="F459" s="13" t="s">
        <v>95</v>
      </c>
      <c r="G459" s="14"/>
      <c r="H459" s="15">
        <f t="shared" ref="H459:H463" si="1244">IF(G459="x",10,0)</f>
        <v>0</v>
      </c>
      <c r="I459" s="14"/>
      <c r="J459" s="15">
        <f t="shared" ref="J459:J463" si="1245">IF((I459="x"),-10,0)</f>
        <v>0</v>
      </c>
      <c r="K459" s="14"/>
      <c r="L459" s="15">
        <f t="shared" ref="L459:L463" si="1246">IF((K459="x"),-20,0)</f>
        <v>0</v>
      </c>
      <c r="M459" s="14"/>
      <c r="N459" s="15">
        <f t="shared" ref="N459:N463" si="1247">IF((M459="x"),-30,0)</f>
        <v>0</v>
      </c>
      <c r="O459" s="16">
        <f t="shared" si="1241"/>
        <v>20</v>
      </c>
      <c r="P459" s="16">
        <f t="shared" si="1242"/>
        <v>20</v>
      </c>
      <c r="Q459" s="16">
        <f t="shared" si="1243"/>
        <v>-10</v>
      </c>
      <c r="R459" s="14"/>
      <c r="S459" s="15">
        <f t="shared" ref="S459:S463" si="1248">R459*10</f>
        <v>0</v>
      </c>
      <c r="T459" s="14"/>
      <c r="U459" s="15">
        <f t="shared" ref="U459:U463" si="1249">T459*-15</f>
        <v>0</v>
      </c>
      <c r="V459" s="16">
        <f t="shared" ref="V459:V463" si="1250">IF(AND(R459=2),10,IF(R459=3,30,IF(R459=4,50,IF(R459=5,70,0))))</f>
        <v>0</v>
      </c>
      <c r="W459" s="17">
        <f t="shared" ref="W459:W463" si="1251"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20</v>
      </c>
      <c r="D460" s="21" t="str">
        <f>Spieltag!B448</f>
        <v>Sven Michel</v>
      </c>
      <c r="E460" s="12" t="str">
        <f>Spieltag!C448</f>
        <v>Sturm</v>
      </c>
      <c r="F460" s="13" t="s">
        <v>95</v>
      </c>
      <c r="G460" s="14"/>
      <c r="H460" s="15">
        <f t="shared" si="1244"/>
        <v>0</v>
      </c>
      <c r="I460" s="14"/>
      <c r="J460" s="15">
        <f t="shared" si="1245"/>
        <v>0</v>
      </c>
      <c r="K460" s="14"/>
      <c r="L460" s="15">
        <f t="shared" si="1246"/>
        <v>0</v>
      </c>
      <c r="M460" s="14"/>
      <c r="N460" s="15">
        <f t="shared" si="1247"/>
        <v>0</v>
      </c>
      <c r="O460" s="16">
        <f t="shared" si="1241"/>
        <v>20</v>
      </c>
      <c r="P460" s="16">
        <f t="shared" si="1242"/>
        <v>20</v>
      </c>
      <c r="Q460" s="16">
        <f t="shared" si="1243"/>
        <v>-10</v>
      </c>
      <c r="R460" s="14"/>
      <c r="S460" s="15">
        <f t="shared" si="1248"/>
        <v>0</v>
      </c>
      <c r="T460" s="14"/>
      <c r="U460" s="15">
        <f t="shared" si="1249"/>
        <v>0</v>
      </c>
      <c r="V460" s="16">
        <f t="shared" si="1250"/>
        <v>0</v>
      </c>
      <c r="W460" s="17">
        <f t="shared" si="1251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21</v>
      </c>
      <c r="D461" s="21" t="str">
        <f>Spieltag!B449</f>
        <v>Phillip Tietz</v>
      </c>
      <c r="E461" s="12" t="str">
        <f>Spieltag!C449</f>
        <v>Sturm</v>
      </c>
      <c r="F461" s="13" t="s">
        <v>95</v>
      </c>
      <c r="G461" s="14"/>
      <c r="H461" s="15">
        <f t="shared" si="1244"/>
        <v>0</v>
      </c>
      <c r="I461" s="14"/>
      <c r="J461" s="15">
        <f t="shared" si="1245"/>
        <v>0</v>
      </c>
      <c r="K461" s="14"/>
      <c r="L461" s="15">
        <f t="shared" si="1246"/>
        <v>0</v>
      </c>
      <c r="M461" s="14"/>
      <c r="N461" s="15">
        <f t="shared" si="1247"/>
        <v>0</v>
      </c>
      <c r="O461" s="16">
        <f t="shared" si="1241"/>
        <v>20</v>
      </c>
      <c r="P461" s="16">
        <f t="shared" si="1242"/>
        <v>20</v>
      </c>
      <c r="Q461" s="16">
        <f t="shared" si="1243"/>
        <v>-10</v>
      </c>
      <c r="R461" s="14"/>
      <c r="S461" s="15">
        <f t="shared" si="1248"/>
        <v>0</v>
      </c>
      <c r="T461" s="14"/>
      <c r="U461" s="15">
        <f t="shared" si="1249"/>
        <v>0</v>
      </c>
      <c r="V461" s="16">
        <f t="shared" si="1250"/>
        <v>0</v>
      </c>
      <c r="W461" s="17">
        <f t="shared" si="1251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34</v>
      </c>
      <c r="D462" s="21" t="str">
        <f>Spieltag!B450</f>
        <v>Nathanael Mbuku (A)</v>
      </c>
      <c r="E462" s="12" t="str">
        <f>Spieltag!C450</f>
        <v>Sturm</v>
      </c>
      <c r="F462" s="13" t="s">
        <v>95</v>
      </c>
      <c r="G462" s="14"/>
      <c r="H462" s="15">
        <f t="shared" si="1244"/>
        <v>0</v>
      </c>
      <c r="I462" s="14"/>
      <c r="J462" s="15">
        <f t="shared" si="1245"/>
        <v>0</v>
      </c>
      <c r="K462" s="14"/>
      <c r="L462" s="15">
        <f t="shared" si="1246"/>
        <v>0</v>
      </c>
      <c r="M462" s="14"/>
      <c r="N462" s="15">
        <f t="shared" si="1247"/>
        <v>0</v>
      </c>
      <c r="O462" s="16">
        <f t="shared" si="1241"/>
        <v>20</v>
      </c>
      <c r="P462" s="16">
        <f t="shared" si="1242"/>
        <v>20</v>
      </c>
      <c r="Q462" s="16">
        <f t="shared" si="1243"/>
        <v>-10</v>
      </c>
      <c r="R462" s="14"/>
      <c r="S462" s="15">
        <f t="shared" si="1248"/>
        <v>0</v>
      </c>
      <c r="T462" s="14"/>
      <c r="U462" s="15">
        <f t="shared" si="1249"/>
        <v>0</v>
      </c>
      <c r="V462" s="16">
        <f t="shared" si="1250"/>
        <v>0</v>
      </c>
      <c r="W462" s="17">
        <f t="shared" si="1251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48</v>
      </c>
      <c r="D463" s="21" t="str">
        <f>Spieltag!B451</f>
        <v>Irvin Cardona (A)</v>
      </c>
      <c r="E463" s="12" t="str">
        <f>Spieltag!C451</f>
        <v>Sturm</v>
      </c>
      <c r="F463" s="13" t="s">
        <v>95</v>
      </c>
      <c r="G463" s="14"/>
      <c r="H463" s="15">
        <f t="shared" si="1244"/>
        <v>0</v>
      </c>
      <c r="I463" s="14"/>
      <c r="J463" s="15">
        <f t="shared" si="1245"/>
        <v>0</v>
      </c>
      <c r="K463" s="14"/>
      <c r="L463" s="15">
        <f t="shared" si="1246"/>
        <v>0</v>
      </c>
      <c r="M463" s="14"/>
      <c r="N463" s="15">
        <f t="shared" si="1247"/>
        <v>0</v>
      </c>
      <c r="O463" s="16">
        <f t="shared" si="1241"/>
        <v>20</v>
      </c>
      <c r="P463" s="16">
        <f t="shared" si="1242"/>
        <v>20</v>
      </c>
      <c r="Q463" s="16">
        <f t="shared" si="1243"/>
        <v>-10</v>
      </c>
      <c r="R463" s="14"/>
      <c r="S463" s="15">
        <f t="shared" si="1248"/>
        <v>0</v>
      </c>
      <c r="T463" s="14"/>
      <c r="U463" s="15">
        <f t="shared" si="1249"/>
        <v>0</v>
      </c>
      <c r="V463" s="16">
        <f t="shared" si="1250"/>
        <v>0</v>
      </c>
      <c r="W463" s="17">
        <f t="shared" si="1251"/>
        <v>0</v>
      </c>
    </row>
    <row r="464" spans="1:23" s="144" customFormat="1" ht="17.25" thickBot="1" x14ac:dyDescent="0.25">
      <c r="A464" s="142"/>
      <c r="B464" s="143">
        <f>SUM(B465:B493)</f>
        <v>8</v>
      </c>
      <c r="C464" s="158"/>
      <c r="D464" s="234" t="s">
        <v>229</v>
      </c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34"/>
      <c r="U464" s="234"/>
      <c r="V464" s="234"/>
      <c r="W464" s="235"/>
    </row>
    <row r="465" spans="1:23" ht="10.5" hidden="1" customHeight="1" x14ac:dyDescent="0.2">
      <c r="A465" s="11"/>
      <c r="B465" s="150">
        <f>COUNTA(Spieltag!K453:AA453)</f>
        <v>0</v>
      </c>
      <c r="C465" s="166">
        <f>Spieltag!A453</f>
        <v>1</v>
      </c>
      <c r="D465" s="21" t="str">
        <f>Spieltag!B453</f>
        <v>Fabian Bredlow</v>
      </c>
      <c r="E465" s="151" t="str">
        <f>Spieltag!C453</f>
        <v>Torwart</v>
      </c>
      <c r="F465" s="152" t="s">
        <v>228</v>
      </c>
      <c r="G465" s="153"/>
      <c r="H465" s="154">
        <f t="shared" ref="H465:H467" si="1252">IF(G465="x",10,0)</f>
        <v>0</v>
      </c>
      <c r="I465" s="153"/>
      <c r="J465" s="154">
        <f t="shared" ref="J465:J467" si="1253">IF((I465="x"),-10,0)</f>
        <v>0</v>
      </c>
      <c r="K465" s="153"/>
      <c r="L465" s="154">
        <f t="shared" ref="L465:L467" si="1254">IF((K465="x"),-20,0)</f>
        <v>0</v>
      </c>
      <c r="M465" s="153"/>
      <c r="N465" s="154">
        <f t="shared" ref="N465:N467" si="1255">IF((M465="x"),-30,0)</f>
        <v>0</v>
      </c>
      <c r="O465" s="155">
        <f t="shared" ref="O465:O468" si="1256">IF(AND($P$10&gt;$Q$10),20,IF($P$10=$Q$10,10,0))</f>
        <v>20</v>
      </c>
      <c r="P465" s="155">
        <f t="shared" ref="P465:P468" si="1257">IF(($P$10&lt;&gt;0),$P$10*10,-5)</f>
        <v>20</v>
      </c>
      <c r="Q465" s="155">
        <f t="shared" ref="Q465:Q468" si="1258">IF(($Q$10&lt;&gt;0),$Q$10*-10,20)</f>
        <v>20</v>
      </c>
      <c r="R465" s="153"/>
      <c r="S465" s="154">
        <f t="shared" ref="S465:S467" si="1259">R465*20</f>
        <v>0</v>
      </c>
      <c r="T465" s="153"/>
      <c r="U465" s="154">
        <f t="shared" ref="U465:U467" si="1260">T465*-15</f>
        <v>0</v>
      </c>
      <c r="V465" s="155">
        <f t="shared" ref="V465:V467" si="1261">IF(AND(R465=2),10,IF(R465=3,30,IF(R465=4,50,IF(R465=5,70,0))))</f>
        <v>0</v>
      </c>
      <c r="W465" s="156">
        <f t="shared" ref="W465:W467" si="1262">IF(G465="x",H465+J465+L465+N465+O465+P465+Q465+S465+U465+V465,0)</f>
        <v>0</v>
      </c>
    </row>
    <row r="466" spans="1:23" ht="10.5" hidden="1" customHeight="1" x14ac:dyDescent="0.2">
      <c r="A466" s="11"/>
      <c r="B466" s="150">
        <f>COUNTA(Spieltag!K454:AA454)</f>
        <v>0</v>
      </c>
      <c r="C466" s="166">
        <f>Spieltag!A454</f>
        <v>33</v>
      </c>
      <c r="D466" s="21" t="str">
        <f>Spieltag!B454</f>
        <v>Alexander Nübel</v>
      </c>
      <c r="E466" s="151" t="str">
        <f>Spieltag!C454</f>
        <v>Torwart</v>
      </c>
      <c r="F466" s="152" t="s">
        <v>228</v>
      </c>
      <c r="G466" s="153"/>
      <c r="H466" s="154">
        <f t="shared" si="1252"/>
        <v>0</v>
      </c>
      <c r="I466" s="153"/>
      <c r="J466" s="154">
        <f t="shared" si="1253"/>
        <v>0</v>
      </c>
      <c r="K466" s="153"/>
      <c r="L466" s="154">
        <f t="shared" si="1254"/>
        <v>0</v>
      </c>
      <c r="M466" s="153"/>
      <c r="N466" s="154">
        <f t="shared" si="1255"/>
        <v>0</v>
      </c>
      <c r="O466" s="155">
        <f t="shared" si="1256"/>
        <v>20</v>
      </c>
      <c r="P466" s="155">
        <f t="shared" si="1257"/>
        <v>20</v>
      </c>
      <c r="Q466" s="155">
        <f t="shared" si="1258"/>
        <v>20</v>
      </c>
      <c r="R466" s="153"/>
      <c r="S466" s="154">
        <f t="shared" si="1259"/>
        <v>0</v>
      </c>
      <c r="T466" s="153"/>
      <c r="U466" s="154">
        <f t="shared" si="1260"/>
        <v>0</v>
      </c>
      <c r="V466" s="155">
        <f t="shared" si="1261"/>
        <v>0</v>
      </c>
      <c r="W466" s="156">
        <f t="shared" si="1262"/>
        <v>0</v>
      </c>
    </row>
    <row r="467" spans="1:23" ht="10.5" hidden="1" customHeight="1" x14ac:dyDescent="0.2">
      <c r="A467" s="11"/>
      <c r="B467" s="150">
        <f>COUNTA(Spieltag!K455:AA455)</f>
        <v>0</v>
      </c>
      <c r="C467" s="166">
        <f>Spieltag!A455</f>
        <v>41</v>
      </c>
      <c r="D467" s="21" t="str">
        <f>Spieltag!B455</f>
        <v>Dennis Seimen</v>
      </c>
      <c r="E467" s="151" t="str">
        <f>Spieltag!C455</f>
        <v>Torwart</v>
      </c>
      <c r="F467" s="152" t="s">
        <v>228</v>
      </c>
      <c r="G467" s="153"/>
      <c r="H467" s="154">
        <f t="shared" si="1252"/>
        <v>0</v>
      </c>
      <c r="I467" s="153"/>
      <c r="J467" s="154">
        <f t="shared" si="1253"/>
        <v>0</v>
      </c>
      <c r="K467" s="153"/>
      <c r="L467" s="154">
        <f t="shared" si="1254"/>
        <v>0</v>
      </c>
      <c r="M467" s="153"/>
      <c r="N467" s="154">
        <f t="shared" si="1255"/>
        <v>0</v>
      </c>
      <c r="O467" s="155">
        <f t="shared" si="1256"/>
        <v>20</v>
      </c>
      <c r="P467" s="155">
        <f t="shared" si="1257"/>
        <v>20</v>
      </c>
      <c r="Q467" s="155">
        <f t="shared" si="1258"/>
        <v>20</v>
      </c>
      <c r="R467" s="153"/>
      <c r="S467" s="154">
        <f t="shared" si="1259"/>
        <v>0</v>
      </c>
      <c r="T467" s="153"/>
      <c r="U467" s="154">
        <f t="shared" si="1260"/>
        <v>0</v>
      </c>
      <c r="V467" s="155">
        <f t="shared" si="1261"/>
        <v>0</v>
      </c>
      <c r="W467" s="156">
        <f t="shared" si="1262"/>
        <v>0</v>
      </c>
    </row>
    <row r="468" spans="1:23" ht="10.5" hidden="1" customHeight="1" x14ac:dyDescent="0.2">
      <c r="A468" s="11"/>
      <c r="B468" s="150">
        <f>COUNTA(Spieltag!K456:AA456)</f>
        <v>0</v>
      </c>
      <c r="C468" s="166">
        <f>Spieltag!A456</f>
        <v>42</v>
      </c>
      <c r="D468" s="21" t="str">
        <f>Spieltag!B456</f>
        <v>Florian Schock</v>
      </c>
      <c r="E468" s="151" t="str">
        <f>Spieltag!C456</f>
        <v>Torwart</v>
      </c>
      <c r="F468" s="152" t="s">
        <v>228</v>
      </c>
      <c r="G468" s="153"/>
      <c r="H468" s="154">
        <f t="shared" ref="H468" si="1263">IF(G468="x",10,0)</f>
        <v>0</v>
      </c>
      <c r="I468" s="153"/>
      <c r="J468" s="154">
        <f t="shared" ref="J468" si="1264">IF((I468="x"),-10,0)</f>
        <v>0</v>
      </c>
      <c r="K468" s="153"/>
      <c r="L468" s="154">
        <f t="shared" ref="L468" si="1265">IF((K468="x"),-20,0)</f>
        <v>0</v>
      </c>
      <c r="M468" s="153"/>
      <c r="N468" s="154">
        <f t="shared" ref="N468" si="1266">IF((M468="x"),-30,0)</f>
        <v>0</v>
      </c>
      <c r="O468" s="155">
        <f t="shared" si="1256"/>
        <v>20</v>
      </c>
      <c r="P468" s="155">
        <f t="shared" si="1257"/>
        <v>20</v>
      </c>
      <c r="Q468" s="155">
        <f t="shared" si="1258"/>
        <v>20</v>
      </c>
      <c r="R468" s="153"/>
      <c r="S468" s="154">
        <f t="shared" ref="S468" si="1267">R468*20</f>
        <v>0</v>
      </c>
      <c r="T468" s="153"/>
      <c r="U468" s="154">
        <f t="shared" ref="U468" si="1268">T468*-15</f>
        <v>0</v>
      </c>
      <c r="V468" s="155">
        <f t="shared" ref="V468" si="1269">IF(AND(R468=2),10,IF(R468=3,30,IF(R468=4,50,IF(R468=5,70,0))))</f>
        <v>0</v>
      </c>
      <c r="W468" s="156">
        <f t="shared" ref="W468" si="1270">IF(G468="x",H468+J468+L468+N468+O468+P468+Q468+S468+U468+V468,0)</f>
        <v>0</v>
      </c>
    </row>
    <row r="469" spans="1:23" ht="10.5" customHeight="1" x14ac:dyDescent="0.2">
      <c r="A469" s="11"/>
      <c r="B469" s="149">
        <f>COUNTA(Spieltag!K457:AA457)</f>
        <v>2</v>
      </c>
      <c r="C469" s="166">
        <f>Spieltag!A457</f>
        <v>2</v>
      </c>
      <c r="D469" s="21" t="str">
        <f>Spieltag!B457</f>
        <v>Waldemar Anton</v>
      </c>
      <c r="E469" s="12" t="str">
        <f>Spieltag!C457</f>
        <v>Abwehr</v>
      </c>
      <c r="F469" s="152" t="s">
        <v>228</v>
      </c>
      <c r="G469" s="14" t="s">
        <v>661</v>
      </c>
      <c r="H469" s="15">
        <f t="shared" ref="H469" si="1271">IF(G469="x",10,0)</f>
        <v>10</v>
      </c>
      <c r="I469" s="14"/>
      <c r="J469" s="15">
        <f t="shared" ref="J469" si="1272">IF((I469="x"),-10,0)</f>
        <v>0</v>
      </c>
      <c r="K469" s="14"/>
      <c r="L469" s="15">
        <f t="shared" ref="L469" si="1273">IF((K469="x"),-20,0)</f>
        <v>0</v>
      </c>
      <c r="M469" s="14"/>
      <c r="N469" s="15">
        <f t="shared" ref="N469" si="1274">IF((M469="x"),-30,0)</f>
        <v>0</v>
      </c>
      <c r="O469" s="16">
        <f t="shared" ref="O469:O476" si="1275">IF(AND($P$10&gt;$Q$10),20,IF($P$10=$Q$10,10,0))</f>
        <v>20</v>
      </c>
      <c r="P469" s="16">
        <f t="shared" ref="P469:P476" si="1276">IF(($P$10&lt;&gt;0),$P$10*10,-5)</f>
        <v>20</v>
      </c>
      <c r="Q469" s="16">
        <f t="shared" ref="Q469:Q476" si="1277">IF(($Q$10&lt;&gt;0),$Q$10*-10,15)</f>
        <v>15</v>
      </c>
      <c r="R469" s="14"/>
      <c r="S469" s="15">
        <f t="shared" ref="S469" si="1278">R469*15</f>
        <v>0</v>
      </c>
      <c r="T469" s="14"/>
      <c r="U469" s="15">
        <f t="shared" ref="U469" si="1279">T469*-15</f>
        <v>0</v>
      </c>
      <c r="V469" s="16">
        <f t="shared" ref="V469" si="1280">IF(AND(R469=2),10,IF(R469=3,30,IF(R469=4,50,IF(R469=5,70,0))))</f>
        <v>0</v>
      </c>
      <c r="W469" s="17">
        <f t="shared" ref="W469" si="1281">IF(G469="x",H469+J469+L469+N469+O469+P469+Q469+S469+U469+V469,0)</f>
        <v>65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4</v>
      </c>
      <c r="D470" s="21" t="str">
        <f>Spieltag!B458</f>
        <v>Josha Vagnoman</v>
      </c>
      <c r="E470" s="12" t="str">
        <f>Spieltag!C458</f>
        <v>Abwehr</v>
      </c>
      <c r="F470" s="152" t="s">
        <v>228</v>
      </c>
      <c r="G470" s="14"/>
      <c r="H470" s="15">
        <f t="shared" ref="H470:H477" si="1282">IF(G470="x",10,0)</f>
        <v>0</v>
      </c>
      <c r="I470" s="14"/>
      <c r="J470" s="15">
        <f t="shared" ref="J470:J477" si="1283">IF((I470="x"),-10,0)</f>
        <v>0</v>
      </c>
      <c r="K470" s="14"/>
      <c r="L470" s="15">
        <f t="shared" ref="L470:L477" si="1284">IF((K470="x"),-20,0)</f>
        <v>0</v>
      </c>
      <c r="M470" s="14"/>
      <c r="N470" s="15">
        <f t="shared" ref="N470:N477" si="1285">IF((M470="x"),-30,0)</f>
        <v>0</v>
      </c>
      <c r="O470" s="16">
        <f t="shared" si="1275"/>
        <v>20</v>
      </c>
      <c r="P470" s="16">
        <f t="shared" si="1276"/>
        <v>20</v>
      </c>
      <c r="Q470" s="16">
        <f t="shared" si="1277"/>
        <v>15</v>
      </c>
      <c r="R470" s="14"/>
      <c r="S470" s="15">
        <f t="shared" ref="S470:S476" si="1286">R470*15</f>
        <v>0</v>
      </c>
      <c r="T470" s="14"/>
      <c r="U470" s="15">
        <f t="shared" ref="U470:U477" si="1287">T470*-15</f>
        <v>0</v>
      </c>
      <c r="V470" s="16">
        <f t="shared" ref="V470:V477" si="1288">IF(AND(R470=2),10,IF(R470=3,30,IF(R470=4,50,IF(R470=5,70,0))))</f>
        <v>0</v>
      </c>
      <c r="W470" s="17">
        <f t="shared" ref="W470:W477" si="1289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7</v>
      </c>
      <c r="D471" s="21" t="str">
        <f>Spieltag!B459</f>
        <v>Maximilian Mittelstädt</v>
      </c>
      <c r="E471" s="12" t="str">
        <f>Spieltag!C459</f>
        <v>Abwehr</v>
      </c>
      <c r="F471" s="152" t="s">
        <v>228</v>
      </c>
      <c r="G471" s="14"/>
      <c r="H471" s="15">
        <f t="shared" si="1282"/>
        <v>0</v>
      </c>
      <c r="I471" s="14"/>
      <c r="J471" s="15">
        <f t="shared" si="1283"/>
        <v>0</v>
      </c>
      <c r="K471" s="14"/>
      <c r="L471" s="15">
        <f t="shared" si="1284"/>
        <v>0</v>
      </c>
      <c r="M471" s="14"/>
      <c r="N471" s="15">
        <f t="shared" si="1285"/>
        <v>0</v>
      </c>
      <c r="O471" s="16">
        <f t="shared" si="1275"/>
        <v>20</v>
      </c>
      <c r="P471" s="16">
        <f t="shared" si="1276"/>
        <v>20</v>
      </c>
      <c r="Q471" s="16">
        <f t="shared" si="1277"/>
        <v>15</v>
      </c>
      <c r="R471" s="14"/>
      <c r="S471" s="15">
        <f t="shared" si="1286"/>
        <v>0</v>
      </c>
      <c r="T471" s="14"/>
      <c r="U471" s="15">
        <f t="shared" si="1287"/>
        <v>0</v>
      </c>
      <c r="V471" s="16">
        <f t="shared" si="1288"/>
        <v>0</v>
      </c>
      <c r="W471" s="17">
        <f t="shared" si="1289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15</v>
      </c>
      <c r="D472" s="21" t="str">
        <f>Spieltag!B460</f>
        <v>Pascal Stenzel</v>
      </c>
      <c r="E472" s="12" t="str">
        <f>Spieltag!C460</f>
        <v>Abwehr</v>
      </c>
      <c r="F472" s="152" t="s">
        <v>228</v>
      </c>
      <c r="G472" s="14"/>
      <c r="H472" s="15">
        <f t="shared" si="1282"/>
        <v>0</v>
      </c>
      <c r="I472" s="14"/>
      <c r="J472" s="15">
        <f t="shared" si="1283"/>
        <v>0</v>
      </c>
      <c r="K472" s="14"/>
      <c r="L472" s="15">
        <f t="shared" si="1284"/>
        <v>0</v>
      </c>
      <c r="M472" s="14"/>
      <c r="N472" s="15">
        <f t="shared" si="1285"/>
        <v>0</v>
      </c>
      <c r="O472" s="16">
        <f t="shared" si="1275"/>
        <v>20</v>
      </c>
      <c r="P472" s="16">
        <f t="shared" si="1276"/>
        <v>20</v>
      </c>
      <c r="Q472" s="16">
        <f t="shared" si="1277"/>
        <v>15</v>
      </c>
      <c r="R472" s="14"/>
      <c r="S472" s="15">
        <f t="shared" si="1286"/>
        <v>0</v>
      </c>
      <c r="T472" s="14"/>
      <c r="U472" s="15">
        <f t="shared" si="1287"/>
        <v>0</v>
      </c>
      <c r="V472" s="16">
        <f t="shared" si="1288"/>
        <v>0</v>
      </c>
      <c r="W472" s="17">
        <f t="shared" si="1289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20</v>
      </c>
      <c r="D473" s="21" t="str">
        <f>Spieltag!B461</f>
        <v>Leonidas Stergiou (A)</v>
      </c>
      <c r="E473" s="12" t="str">
        <f>Spieltag!C461</f>
        <v>Abwehr</v>
      </c>
      <c r="F473" s="152" t="s">
        <v>228</v>
      </c>
      <c r="G473" s="14"/>
      <c r="H473" s="15">
        <f>IF(G473="x",10,0)</f>
        <v>0</v>
      </c>
      <c r="I473" s="14"/>
      <c r="J473" s="15">
        <f>IF((I473="x"),-10,0)</f>
        <v>0</v>
      </c>
      <c r="K473" s="14"/>
      <c r="L473" s="15">
        <f>IF((K473="x"),-20,0)</f>
        <v>0</v>
      </c>
      <c r="M473" s="14"/>
      <c r="N473" s="15">
        <f>IF((M473="x"),-30,0)</f>
        <v>0</v>
      </c>
      <c r="O473" s="16">
        <f t="shared" si="1275"/>
        <v>20</v>
      </c>
      <c r="P473" s="16">
        <f t="shared" si="1276"/>
        <v>20</v>
      </c>
      <c r="Q473" s="16">
        <f t="shared" si="1277"/>
        <v>15</v>
      </c>
      <c r="R473" s="14"/>
      <c r="S473" s="15">
        <f>R473*15</f>
        <v>0</v>
      </c>
      <c r="T473" s="14"/>
      <c r="U473" s="15">
        <f>T473*-15</f>
        <v>0</v>
      </c>
      <c r="V473" s="16">
        <f>IF(AND(R473=2),10,IF(R473=3,30,IF(R473=4,50,IF(R473=5,70,0))))</f>
        <v>0</v>
      </c>
      <c r="W473" s="17">
        <f>IF(G473="x",H473+J473+L473+N473+O473+P473+Q473+S473+U473+V473,0)</f>
        <v>0</v>
      </c>
    </row>
    <row r="474" spans="1:23" ht="10.5" hidden="1" customHeight="1" x14ac:dyDescent="0.2">
      <c r="A474" s="11"/>
      <c r="B474" s="149">
        <f>COUNTA(Spieltag!K462:AA462)</f>
        <v>0</v>
      </c>
      <c r="C474" s="166">
        <f>Spieltag!A462</f>
        <v>21</v>
      </c>
      <c r="D474" s="21" t="str">
        <f>Spieltag!B462</f>
        <v>Hikori Ito (A)</v>
      </c>
      <c r="E474" s="12" t="str">
        <f>Spieltag!C462</f>
        <v>Abwehr</v>
      </c>
      <c r="F474" s="152" t="s">
        <v>228</v>
      </c>
      <c r="G474" s="14"/>
      <c r="H474" s="15">
        <f t="shared" si="1282"/>
        <v>0</v>
      </c>
      <c r="I474" s="14"/>
      <c r="J474" s="15">
        <f t="shared" si="1283"/>
        <v>0</v>
      </c>
      <c r="K474" s="14"/>
      <c r="L474" s="15">
        <f t="shared" si="1284"/>
        <v>0</v>
      </c>
      <c r="M474" s="14"/>
      <c r="N474" s="15">
        <f t="shared" si="1285"/>
        <v>0</v>
      </c>
      <c r="O474" s="16">
        <f t="shared" si="1275"/>
        <v>20</v>
      </c>
      <c r="P474" s="16">
        <f t="shared" si="1276"/>
        <v>20</v>
      </c>
      <c r="Q474" s="16">
        <f t="shared" si="1277"/>
        <v>15</v>
      </c>
      <c r="R474" s="14"/>
      <c r="S474" s="15">
        <f t="shared" si="1286"/>
        <v>0</v>
      </c>
      <c r="T474" s="14"/>
      <c r="U474" s="15">
        <f t="shared" si="1287"/>
        <v>0</v>
      </c>
      <c r="V474" s="16">
        <f t="shared" si="1288"/>
        <v>0</v>
      </c>
      <c r="W474" s="17">
        <f t="shared" si="1289"/>
        <v>0</v>
      </c>
    </row>
    <row r="475" spans="1:23" ht="10.5" hidden="1" customHeight="1" x14ac:dyDescent="0.2">
      <c r="A475" s="11"/>
      <c r="B475" s="149">
        <f>COUNTA(Spieltag!K463:AA463)</f>
        <v>0</v>
      </c>
      <c r="C475" s="166">
        <f>Spieltag!A463</f>
        <v>23</v>
      </c>
      <c r="D475" s="21" t="str">
        <f>Spieltag!B463</f>
        <v>Dan-Axel Zagadou (A)</v>
      </c>
      <c r="E475" s="12" t="str">
        <f>Spieltag!C463</f>
        <v>Abwehr</v>
      </c>
      <c r="F475" s="152" t="s">
        <v>228</v>
      </c>
      <c r="G475" s="14"/>
      <c r="H475" s="15">
        <f t="shared" si="1282"/>
        <v>0</v>
      </c>
      <c r="I475" s="14"/>
      <c r="J475" s="15">
        <f t="shared" si="1283"/>
        <v>0</v>
      </c>
      <c r="K475" s="14"/>
      <c r="L475" s="15">
        <f t="shared" si="1284"/>
        <v>0</v>
      </c>
      <c r="M475" s="14"/>
      <c r="N475" s="15">
        <f t="shared" si="1285"/>
        <v>0</v>
      </c>
      <c r="O475" s="16">
        <f t="shared" si="1275"/>
        <v>20</v>
      </c>
      <c r="P475" s="16">
        <f t="shared" si="1276"/>
        <v>20</v>
      </c>
      <c r="Q475" s="16">
        <f t="shared" si="1277"/>
        <v>15</v>
      </c>
      <c r="R475" s="14"/>
      <c r="S475" s="15">
        <f t="shared" si="1286"/>
        <v>0</v>
      </c>
      <c r="T475" s="14"/>
      <c r="U475" s="15">
        <f t="shared" si="1287"/>
        <v>0</v>
      </c>
      <c r="V475" s="16">
        <f t="shared" si="1288"/>
        <v>0</v>
      </c>
      <c r="W475" s="17">
        <f t="shared" si="1289"/>
        <v>0</v>
      </c>
    </row>
    <row r="476" spans="1:23" ht="10.5" hidden="1" customHeight="1" x14ac:dyDescent="0.2">
      <c r="A476" s="11"/>
      <c r="B476" s="149">
        <f>COUNTA(Spieltag!K464:AA464)</f>
        <v>0</v>
      </c>
      <c r="C476" s="166">
        <f>Spieltag!A464</f>
        <v>29</v>
      </c>
      <c r="D476" s="21" t="str">
        <f>Spieltag!B464</f>
        <v>Anthony Rouault (A)</v>
      </c>
      <c r="E476" s="12" t="str">
        <f>Spieltag!C464</f>
        <v>Abwehr</v>
      </c>
      <c r="F476" s="152" t="s">
        <v>228</v>
      </c>
      <c r="G476" s="14"/>
      <c r="H476" s="15">
        <f t="shared" si="1282"/>
        <v>0</v>
      </c>
      <c r="I476" s="14"/>
      <c r="J476" s="15">
        <f t="shared" si="1283"/>
        <v>0</v>
      </c>
      <c r="K476" s="14"/>
      <c r="L476" s="15">
        <f t="shared" si="1284"/>
        <v>0</v>
      </c>
      <c r="M476" s="14"/>
      <c r="N476" s="15">
        <f t="shared" si="1285"/>
        <v>0</v>
      </c>
      <c r="O476" s="16">
        <f t="shared" si="1275"/>
        <v>20</v>
      </c>
      <c r="P476" s="16">
        <f t="shared" si="1276"/>
        <v>20</v>
      </c>
      <c r="Q476" s="16">
        <f t="shared" si="1277"/>
        <v>15</v>
      </c>
      <c r="R476" s="14"/>
      <c r="S476" s="15">
        <f t="shared" si="1286"/>
        <v>0</v>
      </c>
      <c r="T476" s="14"/>
      <c r="U476" s="15">
        <f t="shared" si="1287"/>
        <v>0</v>
      </c>
      <c r="V476" s="16">
        <f t="shared" si="1288"/>
        <v>0</v>
      </c>
      <c r="W476" s="17">
        <f t="shared" si="1289"/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6</v>
      </c>
      <c r="D477" s="21" t="str">
        <f>Spieltag!B465</f>
        <v>Angelo Stiller</v>
      </c>
      <c r="E477" s="12" t="str">
        <f>Spieltag!C465</f>
        <v>Mittelfeld</v>
      </c>
      <c r="F477" s="152" t="s">
        <v>228</v>
      </c>
      <c r="G477" s="14"/>
      <c r="H477" s="15">
        <f t="shared" si="1282"/>
        <v>0</v>
      </c>
      <c r="I477" s="14"/>
      <c r="J477" s="15">
        <f t="shared" si="1283"/>
        <v>0</v>
      </c>
      <c r="K477" s="14"/>
      <c r="L477" s="15">
        <f t="shared" si="1284"/>
        <v>0</v>
      </c>
      <c r="M477" s="14"/>
      <c r="N477" s="15">
        <f t="shared" si="1285"/>
        <v>0</v>
      </c>
      <c r="O477" s="16">
        <f t="shared" ref="O477:O487" si="1290">IF(AND($P$10&gt;$Q$10),20,IF($P$10=$Q$10,10,0))</f>
        <v>20</v>
      </c>
      <c r="P477" s="16">
        <f t="shared" ref="P477:P487" si="1291">IF(($P$10&lt;&gt;0),$P$10*10,-5)</f>
        <v>20</v>
      </c>
      <c r="Q477" s="16">
        <f t="shared" ref="Q477:Q487" si="1292">IF(($Q$10&lt;&gt;0),$Q$10*-10,10)</f>
        <v>10</v>
      </c>
      <c r="R477" s="14"/>
      <c r="S477" s="15">
        <f t="shared" ref="S477" si="1293">R477*10</f>
        <v>0</v>
      </c>
      <c r="T477" s="14"/>
      <c r="U477" s="15">
        <f t="shared" si="1287"/>
        <v>0</v>
      </c>
      <c r="V477" s="16">
        <f t="shared" si="1288"/>
        <v>0</v>
      </c>
      <c r="W477" s="17">
        <f t="shared" si="1289"/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8</v>
      </c>
      <c r="D478" s="21" t="str">
        <f>Spieltag!B466</f>
        <v>Enzo Millot (A)</v>
      </c>
      <c r="E478" s="12" t="str">
        <f>Spieltag!C466</f>
        <v>Mittelfeld</v>
      </c>
      <c r="F478" s="152" t="s">
        <v>228</v>
      </c>
      <c r="G478" s="14"/>
      <c r="H478" s="15">
        <f t="shared" ref="H478:H487" si="1294">IF(G478="x",10,0)</f>
        <v>0</v>
      </c>
      <c r="I478" s="14"/>
      <c r="J478" s="15">
        <f t="shared" ref="J478:J487" si="1295">IF((I478="x"),-10,0)</f>
        <v>0</v>
      </c>
      <c r="K478" s="14"/>
      <c r="L478" s="15">
        <f t="shared" ref="L478:L487" si="1296">IF((K478="x"),-20,0)</f>
        <v>0</v>
      </c>
      <c r="M478" s="14"/>
      <c r="N478" s="15">
        <f t="shared" ref="N478:N487" si="1297">IF((M478="x"),-30,0)</f>
        <v>0</v>
      </c>
      <c r="O478" s="16">
        <f t="shared" si="1290"/>
        <v>20</v>
      </c>
      <c r="P478" s="16">
        <f t="shared" si="1291"/>
        <v>20</v>
      </c>
      <c r="Q478" s="16">
        <f t="shared" si="1292"/>
        <v>10</v>
      </c>
      <c r="R478" s="14"/>
      <c r="S478" s="15">
        <f t="shared" ref="S478:S487" si="1298">R478*10</f>
        <v>0</v>
      </c>
      <c r="T478" s="14"/>
      <c r="U478" s="15">
        <f t="shared" ref="U478:U487" si="1299">T478*-15</f>
        <v>0</v>
      </c>
      <c r="V478" s="16">
        <f t="shared" ref="V478:V487" si="1300">IF(AND(R478=2),10,IF(R478=3,30,IF(R478=4,50,IF(R478=5,70,0))))</f>
        <v>0</v>
      </c>
      <c r="W478" s="17">
        <f t="shared" ref="W478:W487" si="1301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10</v>
      </c>
      <c r="D479" s="21" t="str">
        <f>Spieltag!B467</f>
        <v>Wooyeong Jeong (A)</v>
      </c>
      <c r="E479" s="12" t="str">
        <f>Spieltag!C467</f>
        <v>Mittelfeld</v>
      </c>
      <c r="F479" s="152" t="s">
        <v>228</v>
      </c>
      <c r="G479" s="14"/>
      <c r="H479" s="15">
        <f t="shared" si="1294"/>
        <v>0</v>
      </c>
      <c r="I479" s="14"/>
      <c r="J479" s="15">
        <f t="shared" si="1295"/>
        <v>0</v>
      </c>
      <c r="K479" s="14"/>
      <c r="L479" s="15">
        <f t="shared" si="1296"/>
        <v>0</v>
      </c>
      <c r="M479" s="14"/>
      <c r="N479" s="15">
        <f t="shared" si="1297"/>
        <v>0</v>
      </c>
      <c r="O479" s="16">
        <f t="shared" si="1290"/>
        <v>20</v>
      </c>
      <c r="P479" s="16">
        <f t="shared" si="1291"/>
        <v>20</v>
      </c>
      <c r="Q479" s="16">
        <f t="shared" si="1292"/>
        <v>10</v>
      </c>
      <c r="R479" s="14"/>
      <c r="S479" s="15">
        <f t="shared" si="1298"/>
        <v>0</v>
      </c>
      <c r="T479" s="14"/>
      <c r="U479" s="15">
        <f t="shared" si="1299"/>
        <v>0</v>
      </c>
      <c r="V479" s="16">
        <f t="shared" si="1300"/>
        <v>0</v>
      </c>
      <c r="W479" s="17">
        <f t="shared" si="1301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16</v>
      </c>
      <c r="D480" s="21" t="str">
        <f>Spieltag!B468</f>
        <v>Atakan Karazor</v>
      </c>
      <c r="E480" s="12" t="str">
        <f>Spieltag!C468</f>
        <v>Mittelfeld</v>
      </c>
      <c r="F480" s="152" t="s">
        <v>228</v>
      </c>
      <c r="G480" s="14"/>
      <c r="H480" s="15">
        <f>IF(G480="x",10,0)</f>
        <v>0</v>
      </c>
      <c r="I480" s="14"/>
      <c r="J480" s="15">
        <f>IF((I480="x"),-10,0)</f>
        <v>0</v>
      </c>
      <c r="K480" s="14"/>
      <c r="L480" s="15">
        <f>IF((K480="x"),-20,0)</f>
        <v>0</v>
      </c>
      <c r="M480" s="14"/>
      <c r="N480" s="15">
        <f>IF((M480="x"),-30,0)</f>
        <v>0</v>
      </c>
      <c r="O480" s="16">
        <f t="shared" si="1290"/>
        <v>20</v>
      </c>
      <c r="P480" s="16">
        <f t="shared" si="1291"/>
        <v>20</v>
      </c>
      <c r="Q480" s="16">
        <f t="shared" si="1292"/>
        <v>10</v>
      </c>
      <c r="R480" s="14"/>
      <c r="S480" s="15">
        <f>R480*10</f>
        <v>0</v>
      </c>
      <c r="T480" s="14"/>
      <c r="U480" s="15">
        <f>T480*-15</f>
        <v>0</v>
      </c>
      <c r="V480" s="16">
        <f>IF(AND(R480=2),10,IF(R480=3,30,IF(R480=4,50,IF(R480=5,70,0))))</f>
        <v>0</v>
      </c>
      <c r="W480" s="17">
        <f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17</v>
      </c>
      <c r="D481" s="21" t="str">
        <f>Spieltag!B469</f>
        <v>Genki Haraguchi (A)</v>
      </c>
      <c r="E481" s="12" t="str">
        <f>Spieltag!C469</f>
        <v>Mittelfeld</v>
      </c>
      <c r="F481" s="152" t="s">
        <v>228</v>
      </c>
      <c r="G481" s="14"/>
      <c r="H481" s="15">
        <f t="shared" si="1294"/>
        <v>0</v>
      </c>
      <c r="I481" s="14"/>
      <c r="J481" s="15">
        <f t="shared" si="1295"/>
        <v>0</v>
      </c>
      <c r="K481" s="14"/>
      <c r="L481" s="15">
        <f t="shared" si="1296"/>
        <v>0</v>
      </c>
      <c r="M481" s="14"/>
      <c r="N481" s="15">
        <f t="shared" si="1297"/>
        <v>0</v>
      </c>
      <c r="O481" s="16">
        <f t="shared" si="1290"/>
        <v>20</v>
      </c>
      <c r="P481" s="16">
        <f t="shared" si="1291"/>
        <v>20</v>
      </c>
      <c r="Q481" s="16">
        <f t="shared" si="1292"/>
        <v>10</v>
      </c>
      <c r="R481" s="14"/>
      <c r="S481" s="15">
        <f t="shared" si="1298"/>
        <v>0</v>
      </c>
      <c r="T481" s="14"/>
      <c r="U481" s="15">
        <f t="shared" si="1299"/>
        <v>0</v>
      </c>
      <c r="V481" s="16">
        <f t="shared" si="1300"/>
        <v>0</v>
      </c>
      <c r="W481" s="17">
        <f t="shared" si="1301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25</v>
      </c>
      <c r="D482" s="21" t="str">
        <f>Spieltag!B470</f>
        <v>Lilian Egloff</v>
      </c>
      <c r="E482" s="12" t="str">
        <f>Spieltag!C470</f>
        <v>Mittelfeld</v>
      </c>
      <c r="F482" s="152" t="s">
        <v>228</v>
      </c>
      <c r="G482" s="14"/>
      <c r="H482" s="15">
        <f t="shared" si="1294"/>
        <v>0</v>
      </c>
      <c r="I482" s="14"/>
      <c r="J482" s="15">
        <f t="shared" si="1295"/>
        <v>0</v>
      </c>
      <c r="K482" s="14"/>
      <c r="L482" s="15">
        <f t="shared" si="1296"/>
        <v>0</v>
      </c>
      <c r="M482" s="14"/>
      <c r="N482" s="15">
        <f t="shared" si="1297"/>
        <v>0</v>
      </c>
      <c r="O482" s="16">
        <f t="shared" si="1290"/>
        <v>20</v>
      </c>
      <c r="P482" s="16">
        <f t="shared" si="1291"/>
        <v>20</v>
      </c>
      <c r="Q482" s="16">
        <f t="shared" si="1292"/>
        <v>10</v>
      </c>
      <c r="R482" s="14"/>
      <c r="S482" s="15">
        <f t="shared" si="1298"/>
        <v>0</v>
      </c>
      <c r="T482" s="14"/>
      <c r="U482" s="15">
        <f t="shared" si="1299"/>
        <v>0</v>
      </c>
      <c r="V482" s="16">
        <f t="shared" si="1300"/>
        <v>0</v>
      </c>
      <c r="W482" s="17">
        <f t="shared" si="1301"/>
        <v>0</v>
      </c>
    </row>
    <row r="483" spans="1:23" ht="10.5" customHeight="1" x14ac:dyDescent="0.2">
      <c r="A483" s="11"/>
      <c r="B483" s="149">
        <f>COUNTA(Spieltag!K471:AA471)</f>
        <v>3</v>
      </c>
      <c r="C483" s="166">
        <f>Spieltag!A471</f>
        <v>27</v>
      </c>
      <c r="D483" s="21" t="str">
        <f>Spieltag!B471</f>
        <v>Chris Führich</v>
      </c>
      <c r="E483" s="12" t="str">
        <f>Spieltag!C471</f>
        <v>Mittelfeld</v>
      </c>
      <c r="F483" s="152" t="s">
        <v>228</v>
      </c>
      <c r="G483" s="14" t="s">
        <v>661</v>
      </c>
      <c r="H483" s="15">
        <f t="shared" si="1294"/>
        <v>10</v>
      </c>
      <c r="I483" s="14"/>
      <c r="J483" s="15">
        <f t="shared" si="1295"/>
        <v>0</v>
      </c>
      <c r="K483" s="14"/>
      <c r="L483" s="15">
        <f t="shared" si="1296"/>
        <v>0</v>
      </c>
      <c r="M483" s="14"/>
      <c r="N483" s="15">
        <f t="shared" si="1297"/>
        <v>0</v>
      </c>
      <c r="O483" s="16">
        <f t="shared" si="1290"/>
        <v>20</v>
      </c>
      <c r="P483" s="16">
        <f t="shared" si="1291"/>
        <v>20</v>
      </c>
      <c r="Q483" s="16">
        <f t="shared" si="1292"/>
        <v>10</v>
      </c>
      <c r="R483" s="14"/>
      <c r="S483" s="15">
        <f t="shared" si="1298"/>
        <v>0</v>
      </c>
      <c r="T483" s="14"/>
      <c r="U483" s="15">
        <f t="shared" si="1299"/>
        <v>0</v>
      </c>
      <c r="V483" s="16">
        <f t="shared" si="1300"/>
        <v>0</v>
      </c>
      <c r="W483" s="17">
        <f t="shared" si="1301"/>
        <v>60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28</v>
      </c>
      <c r="D484" s="21" t="str">
        <f>Spieltag!B472</f>
        <v>Nikolas Nartey (A)</v>
      </c>
      <c r="E484" s="12" t="str">
        <f>Spieltag!C472</f>
        <v>Mittelfeld</v>
      </c>
      <c r="F484" s="152" t="s">
        <v>228</v>
      </c>
      <c r="G484" s="14"/>
      <c r="H484" s="15">
        <f t="shared" si="1294"/>
        <v>0</v>
      </c>
      <c r="I484" s="14"/>
      <c r="J484" s="15">
        <f t="shared" si="1295"/>
        <v>0</v>
      </c>
      <c r="K484" s="14"/>
      <c r="L484" s="15">
        <f t="shared" si="1296"/>
        <v>0</v>
      </c>
      <c r="M484" s="14"/>
      <c r="N484" s="15">
        <f t="shared" si="1297"/>
        <v>0</v>
      </c>
      <c r="O484" s="16">
        <f t="shared" si="1290"/>
        <v>20</v>
      </c>
      <c r="P484" s="16">
        <f t="shared" si="1291"/>
        <v>20</v>
      </c>
      <c r="Q484" s="16">
        <f t="shared" si="1292"/>
        <v>10</v>
      </c>
      <c r="R484" s="14"/>
      <c r="S484" s="15">
        <f t="shared" si="1298"/>
        <v>0</v>
      </c>
      <c r="T484" s="14"/>
      <c r="U484" s="15">
        <f t="shared" si="1299"/>
        <v>0</v>
      </c>
      <c r="V484" s="16">
        <f t="shared" si="1300"/>
        <v>0</v>
      </c>
      <c r="W484" s="17">
        <f t="shared" si="1301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32</v>
      </c>
      <c r="D485" s="21" t="str">
        <f>Spieltag!B473</f>
        <v>Roberto Massimo</v>
      </c>
      <c r="E485" s="12" t="str">
        <f>Spieltag!C473</f>
        <v>Mittelfeld</v>
      </c>
      <c r="F485" s="152" t="s">
        <v>228</v>
      </c>
      <c r="G485" s="14"/>
      <c r="H485" s="15">
        <f t="shared" si="1294"/>
        <v>0</v>
      </c>
      <c r="I485" s="14"/>
      <c r="J485" s="15">
        <f t="shared" si="1295"/>
        <v>0</v>
      </c>
      <c r="K485" s="14"/>
      <c r="L485" s="15">
        <f t="shared" si="1296"/>
        <v>0</v>
      </c>
      <c r="M485" s="14"/>
      <c r="N485" s="15">
        <f t="shared" si="1297"/>
        <v>0</v>
      </c>
      <c r="O485" s="16">
        <f t="shared" si="1290"/>
        <v>20</v>
      </c>
      <c r="P485" s="16">
        <f t="shared" si="1291"/>
        <v>20</v>
      </c>
      <c r="Q485" s="16">
        <f t="shared" si="1292"/>
        <v>10</v>
      </c>
      <c r="R485" s="14"/>
      <c r="S485" s="15">
        <f t="shared" si="1298"/>
        <v>0</v>
      </c>
      <c r="T485" s="14"/>
      <c r="U485" s="15">
        <f t="shared" si="1299"/>
        <v>0</v>
      </c>
      <c r="V485" s="16">
        <f t="shared" si="1300"/>
        <v>0</v>
      </c>
      <c r="W485" s="17">
        <f t="shared" si="1301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36</v>
      </c>
      <c r="D486" s="21" t="str">
        <f>Spieltag!B474</f>
        <v>Laurin Ulrich</v>
      </c>
      <c r="E486" s="12" t="str">
        <f>Spieltag!C474</f>
        <v>Mittelfeld</v>
      </c>
      <c r="F486" s="152" t="s">
        <v>228</v>
      </c>
      <c r="G486" s="14"/>
      <c r="H486" s="15">
        <f t="shared" ref="H486" si="1302">IF(G486="x",10,0)</f>
        <v>0</v>
      </c>
      <c r="I486" s="14"/>
      <c r="J486" s="15">
        <f t="shared" ref="J486" si="1303">IF((I486="x"),-10,0)</f>
        <v>0</v>
      </c>
      <c r="K486" s="14"/>
      <c r="L486" s="15">
        <f t="shared" ref="L486" si="1304">IF((K486="x"),-20,0)</f>
        <v>0</v>
      </c>
      <c r="M486" s="14"/>
      <c r="N486" s="15">
        <f t="shared" ref="N486" si="1305">IF((M486="x"),-30,0)</f>
        <v>0</v>
      </c>
      <c r="O486" s="16">
        <f t="shared" si="1290"/>
        <v>20</v>
      </c>
      <c r="P486" s="16">
        <f t="shared" si="1291"/>
        <v>20</v>
      </c>
      <c r="Q486" s="16">
        <f t="shared" si="1292"/>
        <v>10</v>
      </c>
      <c r="R486" s="14"/>
      <c r="S486" s="15">
        <f t="shared" ref="S486" si="1306">R486*10</f>
        <v>0</v>
      </c>
      <c r="T486" s="14"/>
      <c r="U486" s="15">
        <f t="shared" ref="U486" si="1307">T486*-15</f>
        <v>0</v>
      </c>
      <c r="V486" s="16">
        <f t="shared" ref="V486" si="1308">IF(AND(R486=2),10,IF(R486=3,30,IF(R486=4,50,IF(R486=5,70,0))))</f>
        <v>0</v>
      </c>
      <c r="W486" s="17">
        <f t="shared" ref="W486" si="1309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40</v>
      </c>
      <c r="D487" s="21" t="str">
        <f>Spieltag!B475</f>
        <v>Luca Raimund</v>
      </c>
      <c r="E487" s="12" t="str">
        <f>Spieltag!C475</f>
        <v>Mittelfeld</v>
      </c>
      <c r="F487" s="152" t="s">
        <v>228</v>
      </c>
      <c r="G487" s="14"/>
      <c r="H487" s="15">
        <f t="shared" si="1294"/>
        <v>0</v>
      </c>
      <c r="I487" s="14"/>
      <c r="J487" s="15">
        <f t="shared" si="1295"/>
        <v>0</v>
      </c>
      <c r="K487" s="14"/>
      <c r="L487" s="15">
        <f t="shared" si="1296"/>
        <v>0</v>
      </c>
      <c r="M487" s="14"/>
      <c r="N487" s="15">
        <f t="shared" si="1297"/>
        <v>0</v>
      </c>
      <c r="O487" s="16">
        <f t="shared" si="1290"/>
        <v>20</v>
      </c>
      <c r="P487" s="16">
        <f t="shared" si="1291"/>
        <v>20</v>
      </c>
      <c r="Q487" s="16">
        <f t="shared" si="1292"/>
        <v>10</v>
      </c>
      <c r="R487" s="14"/>
      <c r="S487" s="15">
        <f t="shared" si="1298"/>
        <v>0</v>
      </c>
      <c r="T487" s="14"/>
      <c r="U487" s="15">
        <f t="shared" si="1299"/>
        <v>0</v>
      </c>
      <c r="V487" s="16">
        <f t="shared" si="1300"/>
        <v>0</v>
      </c>
      <c r="W487" s="17">
        <f t="shared" si="1301"/>
        <v>0</v>
      </c>
    </row>
    <row r="488" spans="1:23" ht="10.5" customHeight="1" x14ac:dyDescent="0.2">
      <c r="A488" s="11"/>
      <c r="B488" s="149">
        <f>COUNTA(Spieltag!K476:AA476)</f>
        <v>2</v>
      </c>
      <c r="C488" s="166">
        <f>Spieltag!A476</f>
        <v>9</v>
      </c>
      <c r="D488" s="21" t="str">
        <f>Spieltag!B476</f>
        <v>Serhou Guirassy (A)</v>
      </c>
      <c r="E488" s="12" t="str">
        <f>Spieltag!C476</f>
        <v>Sturm</v>
      </c>
      <c r="F488" s="152" t="s">
        <v>228</v>
      </c>
      <c r="G488" s="14" t="s">
        <v>661</v>
      </c>
      <c r="H488" s="15">
        <f>IF(G488="x",10,0)</f>
        <v>10</v>
      </c>
      <c r="I488" s="14"/>
      <c r="J488" s="15">
        <f>IF((I488="x"),-10,0)</f>
        <v>0</v>
      </c>
      <c r="K488" s="14"/>
      <c r="L488" s="15">
        <f>IF((K488="x"),-20,0)</f>
        <v>0</v>
      </c>
      <c r="M488" s="14"/>
      <c r="N488" s="15">
        <f>IF((M488="x"),-30,0)</f>
        <v>0</v>
      </c>
      <c r="O488" s="16">
        <f t="shared" ref="O488:O493" si="1310">IF(AND($P$10&gt;$Q$10),20,IF($P$10=$Q$10,10,0))</f>
        <v>20</v>
      </c>
      <c r="P488" s="16">
        <f t="shared" ref="P488:P493" si="1311">IF(($P$10&lt;&gt;0),$P$10*10,-5)</f>
        <v>20</v>
      </c>
      <c r="Q488" s="16">
        <f t="shared" ref="Q488:Q493" si="1312">IF(($Q$10&lt;&gt;0),$Q$10*-10,5)</f>
        <v>5</v>
      </c>
      <c r="R488" s="14">
        <v>1</v>
      </c>
      <c r="S488" s="15">
        <f>R488*10</f>
        <v>10</v>
      </c>
      <c r="T488" s="14"/>
      <c r="U488" s="15">
        <f>T488*-15</f>
        <v>0</v>
      </c>
      <c r="V488" s="16">
        <f>IF(AND(R488=2),10,IF(R488=3,30,IF(R488=4,50,IF(R488=5,70,0))))</f>
        <v>0</v>
      </c>
      <c r="W488" s="17">
        <f>IF(G488="x",H488+J488+L488+N488+O488+P488+Q488+S488+U488+V488,0)</f>
        <v>65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14</v>
      </c>
      <c r="D489" s="21" t="str">
        <f>Spieltag!B477</f>
        <v>Silas Katompa Mvumpa (A)</v>
      </c>
      <c r="E489" s="12" t="str">
        <f>Spieltag!C477</f>
        <v>Sturm</v>
      </c>
      <c r="F489" s="152" t="s">
        <v>228</v>
      </c>
      <c r="G489" s="14"/>
      <c r="H489" s="15">
        <f t="shared" ref="H489:H493" si="1313">IF(G489="x",10,0)</f>
        <v>0</v>
      </c>
      <c r="I489" s="14"/>
      <c r="J489" s="15">
        <f t="shared" ref="J489:J493" si="1314">IF((I489="x"),-10,0)</f>
        <v>0</v>
      </c>
      <c r="K489" s="14"/>
      <c r="L489" s="15">
        <f t="shared" ref="L489:L493" si="1315">IF((K489="x"),-20,0)</f>
        <v>0</v>
      </c>
      <c r="M489" s="14"/>
      <c r="N489" s="15">
        <f t="shared" ref="N489:N493" si="1316">IF((M489="x"),-30,0)</f>
        <v>0</v>
      </c>
      <c r="O489" s="16">
        <f t="shared" si="1310"/>
        <v>20</v>
      </c>
      <c r="P489" s="16">
        <f t="shared" si="1311"/>
        <v>20</v>
      </c>
      <c r="Q489" s="16">
        <f t="shared" si="1312"/>
        <v>5</v>
      </c>
      <c r="R489" s="14"/>
      <c r="S489" s="15">
        <f t="shared" ref="S489:S493" si="1317">R489*10</f>
        <v>0</v>
      </c>
      <c r="T489" s="14"/>
      <c r="U489" s="15">
        <f t="shared" ref="U489:U493" si="1318">T489*-15</f>
        <v>0</v>
      </c>
      <c r="V489" s="16">
        <f t="shared" ref="V489:V493" si="1319">IF(AND(R489=2),10,IF(R489=3,30,IF(R489=4,50,IF(R489=5,70,0))))</f>
        <v>0</v>
      </c>
      <c r="W489" s="17">
        <f t="shared" ref="W489:W493" si="1320">IF(G489="x",H489+J489+L489+N489+O489+P489+Q489+S489+U489+V489,0)</f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18</v>
      </c>
      <c r="D490" s="21" t="str">
        <f>Spieltag!B478</f>
        <v>Jamie Leweling</v>
      </c>
      <c r="E490" s="12" t="str">
        <f>Spieltag!C478</f>
        <v>Sturm</v>
      </c>
      <c r="F490" s="152" t="s">
        <v>228</v>
      </c>
      <c r="G490" s="14"/>
      <c r="H490" s="15">
        <f t="shared" si="1313"/>
        <v>0</v>
      </c>
      <c r="I490" s="14"/>
      <c r="J490" s="15">
        <f t="shared" si="1314"/>
        <v>0</v>
      </c>
      <c r="K490" s="14"/>
      <c r="L490" s="15">
        <f t="shared" si="1315"/>
        <v>0</v>
      </c>
      <c r="M490" s="14"/>
      <c r="N490" s="15">
        <f t="shared" si="1316"/>
        <v>0</v>
      </c>
      <c r="O490" s="16">
        <f t="shared" si="1310"/>
        <v>20</v>
      </c>
      <c r="P490" s="16">
        <f t="shared" si="1311"/>
        <v>20</v>
      </c>
      <c r="Q490" s="16">
        <f t="shared" si="1312"/>
        <v>5</v>
      </c>
      <c r="R490" s="14"/>
      <c r="S490" s="15">
        <f t="shared" si="1317"/>
        <v>0</v>
      </c>
      <c r="T490" s="14"/>
      <c r="U490" s="15">
        <f t="shared" si="1318"/>
        <v>0</v>
      </c>
      <c r="V490" s="16">
        <f t="shared" si="1319"/>
        <v>0</v>
      </c>
      <c r="W490" s="17">
        <f t="shared" si="1320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19</v>
      </c>
      <c r="D491" s="21" t="str">
        <f>Spieltag!B479</f>
        <v>Jovan Milošević (A)</v>
      </c>
      <c r="E491" s="12" t="str">
        <f>Spieltag!C479</f>
        <v>Sturm</v>
      </c>
      <c r="F491" s="152" t="s">
        <v>228</v>
      </c>
      <c r="G491" s="14"/>
      <c r="H491" s="15">
        <f t="shared" si="1313"/>
        <v>0</v>
      </c>
      <c r="I491" s="14"/>
      <c r="J491" s="15">
        <f t="shared" si="1314"/>
        <v>0</v>
      </c>
      <c r="K491" s="14"/>
      <c r="L491" s="15">
        <f t="shared" si="1315"/>
        <v>0</v>
      </c>
      <c r="M491" s="14"/>
      <c r="N491" s="15">
        <f t="shared" si="1316"/>
        <v>0</v>
      </c>
      <c r="O491" s="16">
        <f t="shared" si="1310"/>
        <v>20</v>
      </c>
      <c r="P491" s="16">
        <f t="shared" si="1311"/>
        <v>20</v>
      </c>
      <c r="Q491" s="16">
        <f t="shared" si="1312"/>
        <v>5</v>
      </c>
      <c r="R491" s="14"/>
      <c r="S491" s="15">
        <f t="shared" si="1317"/>
        <v>0</v>
      </c>
      <c r="T491" s="14"/>
      <c r="U491" s="15">
        <f t="shared" si="1318"/>
        <v>0</v>
      </c>
      <c r="V491" s="16">
        <f t="shared" si="1319"/>
        <v>0</v>
      </c>
      <c r="W491" s="17">
        <f t="shared" si="1320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22</v>
      </c>
      <c r="D492" s="21" t="str">
        <f>Spieltag!B480</f>
        <v>Thomas Kastanaras</v>
      </c>
      <c r="E492" s="12" t="str">
        <f>Spieltag!C480</f>
        <v>Sturm</v>
      </c>
      <c r="F492" s="152" t="s">
        <v>228</v>
      </c>
      <c r="G492" s="14"/>
      <c r="H492" s="15">
        <f t="shared" si="1313"/>
        <v>0</v>
      </c>
      <c r="I492" s="14"/>
      <c r="J492" s="15">
        <f t="shared" si="1314"/>
        <v>0</v>
      </c>
      <c r="K492" s="14"/>
      <c r="L492" s="15">
        <f t="shared" si="1315"/>
        <v>0</v>
      </c>
      <c r="M492" s="14"/>
      <c r="N492" s="15">
        <f t="shared" si="1316"/>
        <v>0</v>
      </c>
      <c r="O492" s="16">
        <f t="shared" si="1310"/>
        <v>20</v>
      </c>
      <c r="P492" s="16">
        <f t="shared" si="1311"/>
        <v>20</v>
      </c>
      <c r="Q492" s="16">
        <f t="shared" si="1312"/>
        <v>5</v>
      </c>
      <c r="R492" s="14"/>
      <c r="S492" s="15">
        <f t="shared" si="1317"/>
        <v>0</v>
      </c>
      <c r="T492" s="14"/>
      <c r="U492" s="15">
        <f t="shared" si="1318"/>
        <v>0</v>
      </c>
      <c r="V492" s="16">
        <f t="shared" si="1319"/>
        <v>0</v>
      </c>
      <c r="W492" s="17">
        <f t="shared" si="1320"/>
        <v>0</v>
      </c>
    </row>
    <row r="493" spans="1:23" ht="10.5" customHeight="1" x14ac:dyDescent="0.2">
      <c r="A493" s="11"/>
      <c r="B493" s="149">
        <f>COUNTA(Spieltag!K481:AA481)</f>
        <v>1</v>
      </c>
      <c r="C493" s="166">
        <f>Spieltag!A481</f>
        <v>26</v>
      </c>
      <c r="D493" s="21" t="str">
        <f>Spieltag!B481</f>
        <v>Deniz Undav</v>
      </c>
      <c r="E493" s="12" t="str">
        <f>Spieltag!C481</f>
        <v>Sturm</v>
      </c>
      <c r="F493" s="152" t="s">
        <v>228</v>
      </c>
      <c r="G493" s="14" t="s">
        <v>661</v>
      </c>
      <c r="H493" s="15">
        <f t="shared" si="1313"/>
        <v>10</v>
      </c>
      <c r="I493" s="14"/>
      <c r="J493" s="15">
        <f t="shared" si="1314"/>
        <v>0</v>
      </c>
      <c r="K493" s="14"/>
      <c r="L493" s="15">
        <f t="shared" si="1315"/>
        <v>0</v>
      </c>
      <c r="M493" s="14"/>
      <c r="N493" s="15">
        <f t="shared" si="1316"/>
        <v>0</v>
      </c>
      <c r="O493" s="16">
        <f t="shared" si="1310"/>
        <v>20</v>
      </c>
      <c r="P493" s="16">
        <f t="shared" si="1311"/>
        <v>20</v>
      </c>
      <c r="Q493" s="16">
        <f t="shared" si="1312"/>
        <v>5</v>
      </c>
      <c r="R493" s="14">
        <v>1</v>
      </c>
      <c r="S493" s="15">
        <f t="shared" si="1317"/>
        <v>10</v>
      </c>
      <c r="T493" s="14"/>
      <c r="U493" s="15">
        <f t="shared" si="1318"/>
        <v>0</v>
      </c>
      <c r="V493" s="16">
        <f t="shared" si="1319"/>
        <v>0</v>
      </c>
      <c r="W493" s="17">
        <f t="shared" si="1320"/>
        <v>65</v>
      </c>
    </row>
    <row r="494" spans="1:23" s="144" customFormat="1" ht="17.25" hidden="1" thickBot="1" x14ac:dyDescent="0.25">
      <c r="A494" s="142"/>
      <c r="B494" s="143">
        <f>SUM(B495:B522)</f>
        <v>0</v>
      </c>
      <c r="C494" s="158"/>
      <c r="D494" s="234" t="s">
        <v>425</v>
      </c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5"/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1</v>
      </c>
      <c r="D495" s="21" t="str">
        <f>Spieltag!B483</f>
        <v>Kevin Müller</v>
      </c>
      <c r="E495" s="12" t="str">
        <f>Spieltag!C483</f>
        <v>Torwart</v>
      </c>
      <c r="F495" s="13" t="s">
        <v>659</v>
      </c>
      <c r="G495" s="14"/>
      <c r="H495" s="15">
        <f>IF(G495="x",10,0)</f>
        <v>0</v>
      </c>
      <c r="I495" s="14"/>
      <c r="J495" s="15">
        <f>IF((I495="x"),-10,0)</f>
        <v>0</v>
      </c>
      <c r="K495" s="14"/>
      <c r="L495" s="15">
        <f>IF((K495="x"),-20,0)</f>
        <v>0</v>
      </c>
      <c r="M495" s="14"/>
      <c r="N495" s="15">
        <f>IF((M495="x"),-30,0)</f>
        <v>0</v>
      </c>
      <c r="O495" s="16">
        <f t="shared" ref="O495:O506" si="1321">IF(AND($V$6&gt;$W$6),20,IF($V$6=$W$6,10,0))</f>
        <v>0</v>
      </c>
      <c r="P495" s="16">
        <f t="shared" ref="P495:P506" si="1322">IF(($V$6&lt;&gt;0),$V$6*10,-5)</f>
        <v>10</v>
      </c>
      <c r="Q495" s="16">
        <f>IF(($W$6&lt;&gt;0),$W$6*-10,20)</f>
        <v>-20</v>
      </c>
      <c r="R495" s="14"/>
      <c r="S495" s="15">
        <f>R495*20</f>
        <v>0</v>
      </c>
      <c r="T495" s="14"/>
      <c r="U495" s="15">
        <f>T495*-15</f>
        <v>0</v>
      </c>
      <c r="V495" s="16">
        <f>IF(AND(R495=2),10,IF(R495=3,30,IF(R495=4,50,IF(R495=5,70,0))))</f>
        <v>0</v>
      </c>
      <c r="W495" s="17">
        <f>IF(G495="x",H495+J495+L495+N495+O495+P495+Q495+S495+U495+V495,0)</f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22</v>
      </c>
      <c r="D496" s="21" t="str">
        <f>Spieltag!B484</f>
        <v>Vitus Eicher</v>
      </c>
      <c r="E496" s="12" t="str">
        <f>Spieltag!C484</f>
        <v>Torwart</v>
      </c>
      <c r="F496" s="13" t="s">
        <v>659</v>
      </c>
      <c r="G496" s="14"/>
      <c r="H496" s="15">
        <f t="shared" ref="H496:H498" si="1323">IF(G496="x",10,0)</f>
        <v>0</v>
      </c>
      <c r="I496" s="14"/>
      <c r="J496" s="15">
        <f t="shared" ref="J496:J498" si="1324">IF((I496="x"),-10,0)</f>
        <v>0</v>
      </c>
      <c r="K496" s="14"/>
      <c r="L496" s="15">
        <f t="shared" ref="L496:L498" si="1325">IF((K496="x"),-20,0)</f>
        <v>0</v>
      </c>
      <c r="M496" s="14"/>
      <c r="N496" s="15">
        <f t="shared" ref="N496:N498" si="1326">IF((M496="x"),-30,0)</f>
        <v>0</v>
      </c>
      <c r="O496" s="16">
        <f t="shared" si="1321"/>
        <v>0</v>
      </c>
      <c r="P496" s="16">
        <f t="shared" si="1322"/>
        <v>10</v>
      </c>
      <c r="Q496" s="16">
        <f t="shared" ref="Q496:Q498" si="1327">IF(($W$6&lt;&gt;0),$W$6*-10,20)</f>
        <v>-20</v>
      </c>
      <c r="R496" s="14"/>
      <c r="S496" s="15">
        <f t="shared" ref="S496:S498" si="1328">R496*20</f>
        <v>0</v>
      </c>
      <c r="T496" s="14"/>
      <c r="U496" s="15">
        <f t="shared" ref="U496:U498" si="1329">T496*-15</f>
        <v>0</v>
      </c>
      <c r="V496" s="16">
        <f t="shared" ref="V496:V498" si="1330">IF(AND(R496=2),10,IF(R496=3,30,IF(R496=4,50,IF(R496=5,70,0))))</f>
        <v>0</v>
      </c>
      <c r="W496" s="17">
        <f t="shared" ref="W496:W498" si="1331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34</v>
      </c>
      <c r="D497" s="21" t="str">
        <f>Spieltag!B485</f>
        <v>Paul Tschernuth (A)</v>
      </c>
      <c r="E497" s="12" t="str">
        <f>Spieltag!C485</f>
        <v>Torwart</v>
      </c>
      <c r="F497" s="13" t="s">
        <v>659</v>
      </c>
      <c r="G497" s="14"/>
      <c r="H497" s="15">
        <f t="shared" si="1323"/>
        <v>0</v>
      </c>
      <c r="I497" s="14"/>
      <c r="J497" s="15">
        <f t="shared" si="1324"/>
        <v>0</v>
      </c>
      <c r="K497" s="14"/>
      <c r="L497" s="15">
        <f t="shared" si="1325"/>
        <v>0</v>
      </c>
      <c r="M497" s="14"/>
      <c r="N497" s="15">
        <f t="shared" si="1326"/>
        <v>0</v>
      </c>
      <c r="O497" s="16">
        <f t="shared" si="1321"/>
        <v>0</v>
      </c>
      <c r="P497" s="16">
        <f t="shared" si="1322"/>
        <v>10</v>
      </c>
      <c r="Q497" s="16">
        <f t="shared" si="1327"/>
        <v>-20</v>
      </c>
      <c r="R497" s="14"/>
      <c r="S497" s="15">
        <f t="shared" si="1328"/>
        <v>0</v>
      </c>
      <c r="T497" s="14"/>
      <c r="U497" s="15">
        <f t="shared" si="1329"/>
        <v>0</v>
      </c>
      <c r="V497" s="16">
        <f t="shared" si="1330"/>
        <v>0</v>
      </c>
      <c r="W497" s="17">
        <f t="shared" si="1331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40</v>
      </c>
      <c r="D498" s="21" t="str">
        <f>Spieltag!B486</f>
        <v>Frank Feller</v>
      </c>
      <c r="E498" s="12" t="str">
        <f>Spieltag!C486</f>
        <v>Torwart</v>
      </c>
      <c r="F498" s="13" t="s">
        <v>659</v>
      </c>
      <c r="G498" s="14"/>
      <c r="H498" s="15">
        <f t="shared" si="1323"/>
        <v>0</v>
      </c>
      <c r="I498" s="14"/>
      <c r="J498" s="15">
        <f t="shared" si="1324"/>
        <v>0</v>
      </c>
      <c r="K498" s="14"/>
      <c r="L498" s="15">
        <f t="shared" si="1325"/>
        <v>0</v>
      </c>
      <c r="M498" s="14"/>
      <c r="N498" s="15">
        <f t="shared" si="1326"/>
        <v>0</v>
      </c>
      <c r="O498" s="16">
        <f t="shared" si="1321"/>
        <v>0</v>
      </c>
      <c r="P498" s="16">
        <f t="shared" si="1322"/>
        <v>10</v>
      </c>
      <c r="Q498" s="16">
        <f t="shared" si="1327"/>
        <v>-20</v>
      </c>
      <c r="R498" s="14"/>
      <c r="S498" s="15">
        <f t="shared" si="1328"/>
        <v>0</v>
      </c>
      <c r="T498" s="14"/>
      <c r="U498" s="15">
        <f t="shared" si="1329"/>
        <v>0</v>
      </c>
      <c r="V498" s="16">
        <f t="shared" si="1330"/>
        <v>0</v>
      </c>
      <c r="W498" s="17">
        <f t="shared" si="1331"/>
        <v>0</v>
      </c>
    </row>
    <row r="499" spans="1:23" ht="10.5" hidden="1" customHeight="1" x14ac:dyDescent="0.2">
      <c r="A499" s="11"/>
      <c r="B499" s="150">
        <f>COUNTA(Spieltag!K487:AA487)</f>
        <v>0</v>
      </c>
      <c r="C499" s="166">
        <f>Spieltag!A487</f>
        <v>2</v>
      </c>
      <c r="D499" s="21" t="str">
        <f>Spieltag!B487</f>
        <v>Marnon Busch</v>
      </c>
      <c r="E499" s="151" t="str">
        <f>Spieltag!C487</f>
        <v>Abwehr</v>
      </c>
      <c r="F499" s="152" t="s">
        <v>659</v>
      </c>
      <c r="G499" s="153"/>
      <c r="H499" s="154">
        <f t="shared" ref="H499" si="1332">IF(G499="x",10,0)</f>
        <v>0</v>
      </c>
      <c r="I499" s="153"/>
      <c r="J499" s="154">
        <f t="shared" ref="J499" si="1333">IF((I499="x"),-10,0)</f>
        <v>0</v>
      </c>
      <c r="K499" s="153"/>
      <c r="L499" s="154">
        <f t="shared" ref="L499" si="1334">IF((K499="x"),-20,0)</f>
        <v>0</v>
      </c>
      <c r="M499" s="153"/>
      <c r="N499" s="154">
        <f t="shared" ref="N499" si="1335">IF((M499="x"),-30,0)</f>
        <v>0</v>
      </c>
      <c r="O499" s="155">
        <f t="shared" si="1321"/>
        <v>0</v>
      </c>
      <c r="P499" s="155">
        <f t="shared" si="1322"/>
        <v>10</v>
      </c>
      <c r="Q499" s="155">
        <f t="shared" ref="Q499:Q506" si="1336">IF(($W$6&lt;&gt;0),$W$6*-10,15)</f>
        <v>-20</v>
      </c>
      <c r="R499" s="153"/>
      <c r="S499" s="154">
        <f t="shared" ref="S499" si="1337">R499*15</f>
        <v>0</v>
      </c>
      <c r="T499" s="153"/>
      <c r="U499" s="154">
        <f t="shared" ref="U499" si="1338">T499*-15</f>
        <v>0</v>
      </c>
      <c r="V499" s="155">
        <f t="shared" ref="V499" si="1339">IF(AND(R499=2),10,IF(R499=3,30,IF(R499=4,50,IF(R499=5,70,0))))</f>
        <v>0</v>
      </c>
      <c r="W499" s="156">
        <f t="shared" ref="W499" si="1340">IF(G499="x",H499+J499+L499+N499+O499+P499+Q499+S499+U499+V499,0)</f>
        <v>0</v>
      </c>
    </row>
    <row r="500" spans="1:23" ht="10.5" hidden="1" customHeight="1" x14ac:dyDescent="0.2">
      <c r="A500" s="11"/>
      <c r="B500" s="150">
        <f>COUNTA(Spieltag!K488:AA488)</f>
        <v>0</v>
      </c>
      <c r="C500" s="166">
        <f>Spieltag!A488</f>
        <v>4</v>
      </c>
      <c r="D500" s="21" t="str">
        <f>Spieltag!B488</f>
        <v>Tim Siersleben</v>
      </c>
      <c r="E500" s="151" t="str">
        <f>Spieltag!C488</f>
        <v>Abwehr</v>
      </c>
      <c r="F500" s="152" t="s">
        <v>659</v>
      </c>
      <c r="G500" s="153"/>
      <c r="H500" s="154">
        <f t="shared" ref="H500:H506" si="1341">IF(G500="x",10,0)</f>
        <v>0</v>
      </c>
      <c r="I500" s="153"/>
      <c r="J500" s="154">
        <f t="shared" ref="J500:J506" si="1342">IF((I500="x"),-10,0)</f>
        <v>0</v>
      </c>
      <c r="K500" s="153"/>
      <c r="L500" s="154">
        <f t="shared" ref="L500:L506" si="1343">IF((K500="x"),-20,0)</f>
        <v>0</v>
      </c>
      <c r="M500" s="153"/>
      <c r="N500" s="154">
        <f t="shared" ref="N500:N506" si="1344">IF((M500="x"),-30,0)</f>
        <v>0</v>
      </c>
      <c r="O500" s="155">
        <f t="shared" si="1321"/>
        <v>0</v>
      </c>
      <c r="P500" s="155">
        <f t="shared" si="1322"/>
        <v>10</v>
      </c>
      <c r="Q500" s="155">
        <f t="shared" si="1336"/>
        <v>-20</v>
      </c>
      <c r="R500" s="153"/>
      <c r="S500" s="154">
        <f t="shared" ref="S500:S506" si="1345">R500*15</f>
        <v>0</v>
      </c>
      <c r="T500" s="153"/>
      <c r="U500" s="154">
        <f t="shared" ref="U500:U506" si="1346">T500*-15</f>
        <v>0</v>
      </c>
      <c r="V500" s="155">
        <f t="shared" ref="V500:V506" si="1347">IF(AND(R500=2),10,IF(R500=3,30,IF(R500=4,50,IF(R500=5,70,0))))</f>
        <v>0</v>
      </c>
      <c r="W500" s="156">
        <f t="shared" ref="W500:W506" si="1348">IF(G500="x",H500+J500+L500+N500+O500+P500+Q500+S500+U500+V500,0)</f>
        <v>0</v>
      </c>
    </row>
    <row r="501" spans="1:23" ht="10.5" hidden="1" customHeight="1" x14ac:dyDescent="0.2">
      <c r="A501" s="11"/>
      <c r="B501" s="150">
        <f>COUNTA(Spieltag!K489:AA489)</f>
        <v>0</v>
      </c>
      <c r="C501" s="166">
        <f>Spieltag!A489</f>
        <v>6</v>
      </c>
      <c r="D501" s="21" t="str">
        <f>Spieltag!B489</f>
        <v>Patrick Mainka</v>
      </c>
      <c r="E501" s="151" t="str">
        <f>Spieltag!C489</f>
        <v>Abwehr</v>
      </c>
      <c r="F501" s="152" t="s">
        <v>659</v>
      </c>
      <c r="G501" s="153"/>
      <c r="H501" s="154">
        <f t="shared" si="1341"/>
        <v>0</v>
      </c>
      <c r="I501" s="153"/>
      <c r="J501" s="154">
        <f t="shared" si="1342"/>
        <v>0</v>
      </c>
      <c r="K501" s="153"/>
      <c r="L501" s="154">
        <f t="shared" si="1343"/>
        <v>0</v>
      </c>
      <c r="M501" s="153"/>
      <c r="N501" s="154">
        <f t="shared" si="1344"/>
        <v>0</v>
      </c>
      <c r="O501" s="155">
        <f t="shared" si="1321"/>
        <v>0</v>
      </c>
      <c r="P501" s="155">
        <f t="shared" si="1322"/>
        <v>10</v>
      </c>
      <c r="Q501" s="155">
        <f t="shared" si="1336"/>
        <v>-20</v>
      </c>
      <c r="R501" s="153"/>
      <c r="S501" s="154">
        <f t="shared" si="1345"/>
        <v>0</v>
      </c>
      <c r="T501" s="153"/>
      <c r="U501" s="154">
        <f t="shared" si="1346"/>
        <v>0</v>
      </c>
      <c r="V501" s="155">
        <f t="shared" si="1347"/>
        <v>0</v>
      </c>
      <c r="W501" s="156">
        <f t="shared" si="1348"/>
        <v>0</v>
      </c>
    </row>
    <row r="502" spans="1:23" ht="10.5" hidden="1" customHeight="1" x14ac:dyDescent="0.2">
      <c r="A502" s="11"/>
      <c r="B502" s="150">
        <f>COUNTA(Spieltag!K490:AA490)</f>
        <v>0</v>
      </c>
      <c r="C502" s="166">
        <f>Spieltag!A490</f>
        <v>19</v>
      </c>
      <c r="D502" s="21" t="str">
        <f>Spieltag!B490</f>
        <v>Jonas Föhrenbach</v>
      </c>
      <c r="E502" s="151" t="str">
        <f>Spieltag!C490</f>
        <v>Abwehr</v>
      </c>
      <c r="F502" s="152" t="s">
        <v>659</v>
      </c>
      <c r="G502" s="153"/>
      <c r="H502" s="154">
        <f t="shared" si="1341"/>
        <v>0</v>
      </c>
      <c r="I502" s="153"/>
      <c r="J502" s="154">
        <f t="shared" si="1342"/>
        <v>0</v>
      </c>
      <c r="K502" s="153"/>
      <c r="L502" s="154">
        <f t="shared" si="1343"/>
        <v>0</v>
      </c>
      <c r="M502" s="153"/>
      <c r="N502" s="154">
        <f t="shared" si="1344"/>
        <v>0</v>
      </c>
      <c r="O502" s="155">
        <f t="shared" si="1321"/>
        <v>0</v>
      </c>
      <c r="P502" s="155">
        <f t="shared" si="1322"/>
        <v>10</v>
      </c>
      <c r="Q502" s="155">
        <f t="shared" si="1336"/>
        <v>-20</v>
      </c>
      <c r="R502" s="153"/>
      <c r="S502" s="154">
        <f t="shared" si="1345"/>
        <v>0</v>
      </c>
      <c r="T502" s="153"/>
      <c r="U502" s="154">
        <f t="shared" si="1346"/>
        <v>0</v>
      </c>
      <c r="V502" s="155">
        <f t="shared" si="1347"/>
        <v>0</v>
      </c>
      <c r="W502" s="156">
        <f t="shared" si="1348"/>
        <v>0</v>
      </c>
    </row>
    <row r="503" spans="1:23" ht="10.5" hidden="1" customHeight="1" x14ac:dyDescent="0.2">
      <c r="A503" s="11"/>
      <c r="B503" s="150">
        <f>COUNTA(Spieltag!K491:AA491)</f>
        <v>0</v>
      </c>
      <c r="C503" s="166">
        <f>Spieltag!A491</f>
        <v>23</v>
      </c>
      <c r="D503" s="21" t="str">
        <f>Spieltag!B491</f>
        <v>Omar Haktab Traoré</v>
      </c>
      <c r="E503" s="151" t="str">
        <f>Spieltag!C491</f>
        <v>Abwehr</v>
      </c>
      <c r="F503" s="152" t="s">
        <v>659</v>
      </c>
      <c r="G503" s="153"/>
      <c r="H503" s="154">
        <f t="shared" si="1341"/>
        <v>0</v>
      </c>
      <c r="I503" s="153"/>
      <c r="J503" s="154">
        <f t="shared" si="1342"/>
        <v>0</v>
      </c>
      <c r="K503" s="153"/>
      <c r="L503" s="154">
        <f t="shared" si="1343"/>
        <v>0</v>
      </c>
      <c r="M503" s="153"/>
      <c r="N503" s="154">
        <f t="shared" si="1344"/>
        <v>0</v>
      </c>
      <c r="O503" s="155">
        <f t="shared" si="1321"/>
        <v>0</v>
      </c>
      <c r="P503" s="155">
        <f t="shared" si="1322"/>
        <v>10</v>
      </c>
      <c r="Q503" s="155">
        <f t="shared" si="1336"/>
        <v>-20</v>
      </c>
      <c r="R503" s="153"/>
      <c r="S503" s="154">
        <f t="shared" si="1345"/>
        <v>0</v>
      </c>
      <c r="T503" s="153"/>
      <c r="U503" s="154">
        <f t="shared" si="1346"/>
        <v>0</v>
      </c>
      <c r="V503" s="155">
        <f t="shared" si="1347"/>
        <v>0</v>
      </c>
      <c r="W503" s="156">
        <f t="shared" si="1348"/>
        <v>0</v>
      </c>
    </row>
    <row r="504" spans="1:23" ht="10.5" hidden="1" customHeight="1" x14ac:dyDescent="0.2">
      <c r="A504" s="11"/>
      <c r="B504" s="150">
        <f>COUNTA(Spieltag!K492:AA492)</f>
        <v>0</v>
      </c>
      <c r="C504" s="166">
        <f>Spieltag!A492</f>
        <v>27</v>
      </c>
      <c r="D504" s="21" t="str">
        <f>Spieltag!B492</f>
        <v>Thomas Keller</v>
      </c>
      <c r="E504" s="151" t="str">
        <f>Spieltag!C492</f>
        <v>Abwehr</v>
      </c>
      <c r="F504" s="152" t="s">
        <v>659</v>
      </c>
      <c r="G504" s="153"/>
      <c r="H504" s="154">
        <f t="shared" si="1341"/>
        <v>0</v>
      </c>
      <c r="I504" s="153"/>
      <c r="J504" s="154">
        <f t="shared" si="1342"/>
        <v>0</v>
      </c>
      <c r="K504" s="153"/>
      <c r="L504" s="154">
        <f t="shared" si="1343"/>
        <v>0</v>
      </c>
      <c r="M504" s="153"/>
      <c r="N504" s="154">
        <f t="shared" si="1344"/>
        <v>0</v>
      </c>
      <c r="O504" s="155">
        <f t="shared" si="1321"/>
        <v>0</v>
      </c>
      <c r="P504" s="155">
        <f t="shared" si="1322"/>
        <v>10</v>
      </c>
      <c r="Q504" s="155">
        <f t="shared" si="1336"/>
        <v>-20</v>
      </c>
      <c r="R504" s="153"/>
      <c r="S504" s="154">
        <f t="shared" si="1345"/>
        <v>0</v>
      </c>
      <c r="T504" s="153"/>
      <c r="U504" s="154">
        <f t="shared" si="1346"/>
        <v>0</v>
      </c>
      <c r="V504" s="155">
        <f t="shared" si="1347"/>
        <v>0</v>
      </c>
      <c r="W504" s="156">
        <f t="shared" si="1348"/>
        <v>0</v>
      </c>
    </row>
    <row r="505" spans="1:23" ht="10.5" hidden="1" customHeight="1" x14ac:dyDescent="0.2">
      <c r="A505" s="11"/>
      <c r="B505" s="150">
        <f>COUNTA(Spieltag!K493:AA493)</f>
        <v>0</v>
      </c>
      <c r="C505" s="166">
        <f>Spieltag!A493</f>
        <v>29</v>
      </c>
      <c r="D505" s="21" t="str">
        <f>Spieltag!B493</f>
        <v>Seedy Jarju</v>
      </c>
      <c r="E505" s="151" t="str">
        <f>Spieltag!C493</f>
        <v>Abwehr</v>
      </c>
      <c r="F505" s="152" t="s">
        <v>659</v>
      </c>
      <c r="G505" s="153"/>
      <c r="H505" s="154">
        <f t="shared" si="1341"/>
        <v>0</v>
      </c>
      <c r="I505" s="153"/>
      <c r="J505" s="154">
        <f t="shared" si="1342"/>
        <v>0</v>
      </c>
      <c r="K505" s="153"/>
      <c r="L505" s="154">
        <f t="shared" si="1343"/>
        <v>0</v>
      </c>
      <c r="M505" s="153"/>
      <c r="N505" s="154">
        <f t="shared" si="1344"/>
        <v>0</v>
      </c>
      <c r="O505" s="155">
        <f t="shared" si="1321"/>
        <v>0</v>
      </c>
      <c r="P505" s="155">
        <f t="shared" si="1322"/>
        <v>10</v>
      </c>
      <c r="Q505" s="155">
        <f t="shared" si="1336"/>
        <v>-20</v>
      </c>
      <c r="R505" s="153"/>
      <c r="S505" s="154">
        <f t="shared" si="1345"/>
        <v>0</v>
      </c>
      <c r="T505" s="153"/>
      <c r="U505" s="154">
        <f t="shared" si="1346"/>
        <v>0</v>
      </c>
      <c r="V505" s="155">
        <f t="shared" si="1347"/>
        <v>0</v>
      </c>
      <c r="W505" s="156">
        <f t="shared" si="1348"/>
        <v>0</v>
      </c>
    </row>
    <row r="506" spans="1:23" ht="10.5" hidden="1" customHeight="1" x14ac:dyDescent="0.2">
      <c r="A506" s="11"/>
      <c r="B506" s="150">
        <f>COUNTA(Spieltag!K494:AA494)</f>
        <v>0</v>
      </c>
      <c r="C506" s="166">
        <f>Spieltag!A494</f>
        <v>30</v>
      </c>
      <c r="D506" s="21" t="str">
        <f>Spieltag!B494</f>
        <v>Norman Theuerkauf</v>
      </c>
      <c r="E506" s="151" t="str">
        <f>Spieltag!C494</f>
        <v>Abwehr</v>
      </c>
      <c r="F506" s="152" t="s">
        <v>659</v>
      </c>
      <c r="G506" s="153"/>
      <c r="H506" s="154">
        <f t="shared" si="1341"/>
        <v>0</v>
      </c>
      <c r="I506" s="153"/>
      <c r="J506" s="154">
        <f t="shared" si="1342"/>
        <v>0</v>
      </c>
      <c r="K506" s="153"/>
      <c r="L506" s="154">
        <f t="shared" si="1343"/>
        <v>0</v>
      </c>
      <c r="M506" s="153"/>
      <c r="N506" s="154">
        <f t="shared" si="1344"/>
        <v>0</v>
      </c>
      <c r="O506" s="155">
        <f t="shared" si="1321"/>
        <v>0</v>
      </c>
      <c r="P506" s="155">
        <f t="shared" si="1322"/>
        <v>10</v>
      </c>
      <c r="Q506" s="155">
        <f t="shared" si="1336"/>
        <v>-20</v>
      </c>
      <c r="R506" s="153"/>
      <c r="S506" s="154">
        <f t="shared" si="1345"/>
        <v>0</v>
      </c>
      <c r="T506" s="153"/>
      <c r="U506" s="154">
        <f t="shared" si="1346"/>
        <v>0</v>
      </c>
      <c r="V506" s="155">
        <f t="shared" si="1347"/>
        <v>0</v>
      </c>
      <c r="W506" s="156">
        <f t="shared" si="1348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</v>
      </c>
      <c r="D507" s="21" t="str">
        <f>Spieltag!B495</f>
        <v>Jan Schöppner</v>
      </c>
      <c r="E507" s="12" t="str">
        <f>Spieltag!C495</f>
        <v>Mittelfeld</v>
      </c>
      <c r="F507" s="13" t="s">
        <v>659</v>
      </c>
      <c r="G507" s="14"/>
      <c r="H507" s="15">
        <f t="shared" ref="H507" si="1349">IF(G507="x",10,0)</f>
        <v>0</v>
      </c>
      <c r="I507" s="14"/>
      <c r="J507" s="15">
        <f t="shared" ref="J507" si="1350">IF((I507="x"),-10,0)</f>
        <v>0</v>
      </c>
      <c r="K507" s="14"/>
      <c r="L507" s="15">
        <f t="shared" ref="L507" si="1351">IF((K507="x"),-20,0)</f>
        <v>0</v>
      </c>
      <c r="M507" s="14"/>
      <c r="N507" s="15">
        <f t="shared" ref="N507" si="1352">IF((M507="x"),-30,0)</f>
        <v>0</v>
      </c>
      <c r="O507" s="16">
        <f t="shared" ref="O507:O516" si="1353">IF(AND($V$6&gt;$W$6),20,IF($V$6=$W$6,10,0))</f>
        <v>0</v>
      </c>
      <c r="P507" s="16">
        <f t="shared" ref="P507:P516" si="1354">IF(($V$6&lt;&gt;0),$V$6*10,-5)</f>
        <v>10</v>
      </c>
      <c r="Q507" s="16">
        <f t="shared" ref="Q507:Q516" si="1355">IF(($W$6&lt;&gt;0),$W$6*-10,10)</f>
        <v>-20</v>
      </c>
      <c r="R507" s="14"/>
      <c r="S507" s="15">
        <f t="shared" ref="S507" si="1356">R507*10</f>
        <v>0</v>
      </c>
      <c r="T507" s="14"/>
      <c r="U507" s="15">
        <f t="shared" ref="U507" si="1357">T507*-15</f>
        <v>0</v>
      </c>
      <c r="V507" s="16">
        <f t="shared" ref="V507" si="1358">IF(AND(R507=2),10,IF(R507=3,30,IF(R507=4,50,IF(R507=5,70,0))))</f>
        <v>0</v>
      </c>
      <c r="W507" s="17">
        <f t="shared" ref="W507" si="1359">IF(G507="x",H507+J507+L507+N507+O507+P507+Q507+S507+U507+V507,0)</f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5</v>
      </c>
      <c r="D508" s="21" t="str">
        <f>Spieltag!B496</f>
        <v>Benedikt Gimber</v>
      </c>
      <c r="E508" s="12" t="str">
        <f>Spieltag!C496</f>
        <v>Mittelfeld</v>
      </c>
      <c r="F508" s="13" t="s">
        <v>659</v>
      </c>
      <c r="G508" s="14"/>
      <c r="H508" s="15">
        <f t="shared" ref="H508:H516" si="1360">IF(G508="x",10,0)</f>
        <v>0</v>
      </c>
      <c r="I508" s="14"/>
      <c r="J508" s="15">
        <f t="shared" ref="J508:J516" si="1361">IF((I508="x"),-10,0)</f>
        <v>0</v>
      </c>
      <c r="K508" s="14"/>
      <c r="L508" s="15">
        <f t="shared" ref="L508:L516" si="1362">IF((K508="x"),-20,0)</f>
        <v>0</v>
      </c>
      <c r="M508" s="14"/>
      <c r="N508" s="15">
        <f t="shared" ref="N508:N516" si="1363">IF((M508="x"),-30,0)</f>
        <v>0</v>
      </c>
      <c r="O508" s="16">
        <f t="shared" si="1353"/>
        <v>0</v>
      </c>
      <c r="P508" s="16">
        <f t="shared" si="1354"/>
        <v>10</v>
      </c>
      <c r="Q508" s="16">
        <f t="shared" si="1355"/>
        <v>-20</v>
      </c>
      <c r="R508" s="14"/>
      <c r="S508" s="15">
        <f t="shared" ref="S508:S516" si="1364">R508*10</f>
        <v>0</v>
      </c>
      <c r="T508" s="14"/>
      <c r="U508" s="15">
        <f t="shared" ref="U508:U516" si="1365">T508*-15</f>
        <v>0</v>
      </c>
      <c r="V508" s="16">
        <f t="shared" ref="V508:V516" si="1366">IF(AND(R508=2),10,IF(R508=3,30,IF(R508=4,50,IF(R508=5,70,0))))</f>
        <v>0</v>
      </c>
      <c r="W508" s="17">
        <f t="shared" ref="W508:W516" si="1367"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8</v>
      </c>
      <c r="D509" s="21" t="str">
        <f>Spieltag!B497</f>
        <v>Eren Sami Dinkçi</v>
      </c>
      <c r="E509" s="12" t="str">
        <f>Spieltag!C497</f>
        <v>Mittelfeld</v>
      </c>
      <c r="F509" s="13" t="s">
        <v>659</v>
      </c>
      <c r="G509" s="14"/>
      <c r="H509" s="15">
        <f t="shared" si="1360"/>
        <v>0</v>
      </c>
      <c r="I509" s="14"/>
      <c r="J509" s="15">
        <f t="shared" si="1361"/>
        <v>0</v>
      </c>
      <c r="K509" s="14"/>
      <c r="L509" s="15">
        <f t="shared" si="1362"/>
        <v>0</v>
      </c>
      <c r="M509" s="14"/>
      <c r="N509" s="15">
        <f t="shared" si="1363"/>
        <v>0</v>
      </c>
      <c r="O509" s="16">
        <f t="shared" si="1353"/>
        <v>0</v>
      </c>
      <c r="P509" s="16">
        <f t="shared" si="1354"/>
        <v>10</v>
      </c>
      <c r="Q509" s="16">
        <f t="shared" si="1355"/>
        <v>-20</v>
      </c>
      <c r="R509" s="14"/>
      <c r="S509" s="15">
        <f t="shared" si="1364"/>
        <v>0</v>
      </c>
      <c r="T509" s="14"/>
      <c r="U509" s="15">
        <f t="shared" si="1365"/>
        <v>0</v>
      </c>
      <c r="V509" s="16">
        <f t="shared" si="1366"/>
        <v>0</v>
      </c>
      <c r="W509" s="17">
        <f t="shared" si="1367"/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11</v>
      </c>
      <c r="D510" s="21" t="str">
        <f>Spieltag!B498</f>
        <v>Denis Thomalla</v>
      </c>
      <c r="E510" s="12" t="str">
        <f>Spieltag!C498</f>
        <v>Mittelfeld</v>
      </c>
      <c r="F510" s="13" t="s">
        <v>659</v>
      </c>
      <c r="G510" s="14"/>
      <c r="H510" s="15">
        <f t="shared" si="1360"/>
        <v>0</v>
      </c>
      <c r="I510" s="14"/>
      <c r="J510" s="15">
        <f t="shared" si="1361"/>
        <v>0</v>
      </c>
      <c r="K510" s="14"/>
      <c r="L510" s="15">
        <f t="shared" si="1362"/>
        <v>0</v>
      </c>
      <c r="M510" s="14"/>
      <c r="N510" s="15">
        <f t="shared" si="1363"/>
        <v>0</v>
      </c>
      <c r="O510" s="16">
        <f t="shared" si="1353"/>
        <v>0</v>
      </c>
      <c r="P510" s="16">
        <f t="shared" si="1354"/>
        <v>10</v>
      </c>
      <c r="Q510" s="16">
        <f t="shared" si="1355"/>
        <v>-20</v>
      </c>
      <c r="R510" s="14"/>
      <c r="S510" s="15">
        <f t="shared" si="1364"/>
        <v>0</v>
      </c>
      <c r="T510" s="14"/>
      <c r="U510" s="15">
        <f t="shared" si="1365"/>
        <v>0</v>
      </c>
      <c r="V510" s="16">
        <f t="shared" si="1366"/>
        <v>0</v>
      </c>
      <c r="W510" s="17">
        <f t="shared" si="1367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16</v>
      </c>
      <c r="D511" s="21" t="str">
        <f>Spieltag!B499</f>
        <v>Kevin Sessa</v>
      </c>
      <c r="E511" s="12" t="str">
        <f>Spieltag!C499</f>
        <v>Mittelfeld</v>
      </c>
      <c r="F511" s="13" t="s">
        <v>659</v>
      </c>
      <c r="G511" s="14"/>
      <c r="H511" s="15">
        <f t="shared" si="1360"/>
        <v>0</v>
      </c>
      <c r="I511" s="14"/>
      <c r="J511" s="15">
        <f t="shared" si="1361"/>
        <v>0</v>
      </c>
      <c r="K511" s="14"/>
      <c r="L511" s="15">
        <f t="shared" si="1362"/>
        <v>0</v>
      </c>
      <c r="M511" s="14"/>
      <c r="N511" s="15">
        <f t="shared" si="1363"/>
        <v>0</v>
      </c>
      <c r="O511" s="16">
        <f t="shared" si="1353"/>
        <v>0</v>
      </c>
      <c r="P511" s="16">
        <f t="shared" si="1354"/>
        <v>10</v>
      </c>
      <c r="Q511" s="16">
        <f t="shared" si="1355"/>
        <v>-20</v>
      </c>
      <c r="R511" s="14"/>
      <c r="S511" s="15">
        <f t="shared" si="1364"/>
        <v>0</v>
      </c>
      <c r="T511" s="14"/>
      <c r="U511" s="15">
        <f t="shared" si="1365"/>
        <v>0</v>
      </c>
      <c r="V511" s="16">
        <f t="shared" si="1366"/>
        <v>0</v>
      </c>
      <c r="W511" s="17">
        <f t="shared" si="1367"/>
        <v>0</v>
      </c>
    </row>
    <row r="512" spans="1:23" ht="10.5" hidden="1" customHeight="1" x14ac:dyDescent="0.2">
      <c r="A512" s="11"/>
      <c r="B512" s="149">
        <f>COUNTA(Spieltag!K500:AA500)</f>
        <v>0</v>
      </c>
      <c r="C512" s="166">
        <f>Spieltag!A500</f>
        <v>17</v>
      </c>
      <c r="D512" s="21" t="str">
        <f>Spieltag!B500</f>
        <v>Florian Pick</v>
      </c>
      <c r="E512" s="12" t="str">
        <f>Spieltag!C500</f>
        <v>Mittelfeld</v>
      </c>
      <c r="F512" s="13" t="s">
        <v>659</v>
      </c>
      <c r="G512" s="14"/>
      <c r="H512" s="15">
        <f t="shared" si="1360"/>
        <v>0</v>
      </c>
      <c r="I512" s="14"/>
      <c r="J512" s="15">
        <f t="shared" si="1361"/>
        <v>0</v>
      </c>
      <c r="K512" s="14"/>
      <c r="L512" s="15">
        <f t="shared" si="1362"/>
        <v>0</v>
      </c>
      <c r="M512" s="14"/>
      <c r="N512" s="15">
        <f t="shared" si="1363"/>
        <v>0</v>
      </c>
      <c r="O512" s="16">
        <f t="shared" si="1353"/>
        <v>0</v>
      </c>
      <c r="P512" s="16">
        <f t="shared" si="1354"/>
        <v>10</v>
      </c>
      <c r="Q512" s="16">
        <f t="shared" si="1355"/>
        <v>-20</v>
      </c>
      <c r="R512" s="14"/>
      <c r="S512" s="15">
        <f t="shared" si="1364"/>
        <v>0</v>
      </c>
      <c r="T512" s="14"/>
      <c r="U512" s="15">
        <f t="shared" si="1365"/>
        <v>0</v>
      </c>
      <c r="V512" s="16">
        <f t="shared" si="1366"/>
        <v>0</v>
      </c>
      <c r="W512" s="17">
        <f t="shared" si="1367"/>
        <v>0</v>
      </c>
    </row>
    <row r="513" spans="1:23" ht="10.5" hidden="1" customHeight="1" x14ac:dyDescent="0.2">
      <c r="A513" s="11"/>
      <c r="B513" s="149">
        <f>COUNTA(Spieltag!K501:AA501)</f>
        <v>0</v>
      </c>
      <c r="C513" s="166">
        <f>Spieltag!A501</f>
        <v>21</v>
      </c>
      <c r="D513" s="21" t="str">
        <f>Spieltag!B501</f>
        <v>Adrian Beck</v>
      </c>
      <c r="E513" s="12" t="str">
        <f>Spieltag!C501</f>
        <v>Mittelfeld</v>
      </c>
      <c r="F513" s="13" t="s">
        <v>659</v>
      </c>
      <c r="G513" s="14"/>
      <c r="H513" s="15">
        <f t="shared" si="1360"/>
        <v>0</v>
      </c>
      <c r="I513" s="14"/>
      <c r="J513" s="15">
        <f t="shared" si="1361"/>
        <v>0</v>
      </c>
      <c r="K513" s="14"/>
      <c r="L513" s="15">
        <f t="shared" si="1362"/>
        <v>0</v>
      </c>
      <c r="M513" s="14"/>
      <c r="N513" s="15">
        <f t="shared" si="1363"/>
        <v>0</v>
      </c>
      <c r="O513" s="16">
        <f t="shared" si="1353"/>
        <v>0</v>
      </c>
      <c r="P513" s="16">
        <f t="shared" si="1354"/>
        <v>10</v>
      </c>
      <c r="Q513" s="16">
        <f t="shared" si="1355"/>
        <v>-20</v>
      </c>
      <c r="R513" s="14"/>
      <c r="S513" s="15">
        <f t="shared" si="1364"/>
        <v>0</v>
      </c>
      <c r="T513" s="14"/>
      <c r="U513" s="15">
        <f t="shared" si="1365"/>
        <v>0</v>
      </c>
      <c r="V513" s="16">
        <f t="shared" si="1366"/>
        <v>0</v>
      </c>
      <c r="W513" s="17">
        <f t="shared" si="1367"/>
        <v>0</v>
      </c>
    </row>
    <row r="514" spans="1:23" ht="10.5" hidden="1" customHeight="1" x14ac:dyDescent="0.2">
      <c r="A514" s="11"/>
      <c r="B514" s="149">
        <f>COUNTA(Spieltag!K502:AA502)</f>
        <v>0</v>
      </c>
      <c r="C514" s="166">
        <f>Spieltag!A502</f>
        <v>33</v>
      </c>
      <c r="D514" s="21" t="str">
        <f>Spieltag!B502</f>
        <v>Lennard Maloney</v>
      </c>
      <c r="E514" s="12" t="str">
        <f>Spieltag!C502</f>
        <v>Mittelfeld</v>
      </c>
      <c r="F514" s="13" t="s">
        <v>659</v>
      </c>
      <c r="G514" s="14"/>
      <c r="H514" s="15">
        <f t="shared" si="1360"/>
        <v>0</v>
      </c>
      <c r="I514" s="14"/>
      <c r="J514" s="15">
        <f t="shared" si="1361"/>
        <v>0</v>
      </c>
      <c r="K514" s="14"/>
      <c r="L514" s="15">
        <f t="shared" si="1362"/>
        <v>0</v>
      </c>
      <c r="M514" s="14"/>
      <c r="N514" s="15">
        <f t="shared" si="1363"/>
        <v>0</v>
      </c>
      <c r="O514" s="16">
        <f t="shared" si="1353"/>
        <v>0</v>
      </c>
      <c r="P514" s="16">
        <f t="shared" si="1354"/>
        <v>10</v>
      </c>
      <c r="Q514" s="16">
        <f t="shared" si="1355"/>
        <v>-20</v>
      </c>
      <c r="R514" s="14"/>
      <c r="S514" s="15">
        <f t="shared" si="1364"/>
        <v>0</v>
      </c>
      <c r="T514" s="14"/>
      <c r="U514" s="15">
        <f t="shared" si="1365"/>
        <v>0</v>
      </c>
      <c r="V514" s="16">
        <f t="shared" si="1366"/>
        <v>0</v>
      </c>
      <c r="W514" s="17">
        <f t="shared" si="1367"/>
        <v>0</v>
      </c>
    </row>
    <row r="515" spans="1:23" ht="10.5" hidden="1" customHeight="1" x14ac:dyDescent="0.2">
      <c r="A515" s="11"/>
      <c r="B515" s="149">
        <f>COUNTA(Spieltag!K503:AA503)</f>
        <v>0</v>
      </c>
      <c r="C515" s="166">
        <f>Spieltag!A503</f>
        <v>36</v>
      </c>
      <c r="D515" s="21" t="str">
        <f>Spieltag!B503</f>
        <v>Luka Janeš</v>
      </c>
      <c r="E515" s="12" t="str">
        <f>Spieltag!C503</f>
        <v>Mittelfeld</v>
      </c>
      <c r="F515" s="13" t="s">
        <v>659</v>
      </c>
      <c r="G515" s="14"/>
      <c r="H515" s="15">
        <f t="shared" si="1360"/>
        <v>0</v>
      </c>
      <c r="I515" s="14"/>
      <c r="J515" s="15">
        <f t="shared" si="1361"/>
        <v>0</v>
      </c>
      <c r="K515" s="14"/>
      <c r="L515" s="15">
        <f t="shared" si="1362"/>
        <v>0</v>
      </c>
      <c r="M515" s="14"/>
      <c r="N515" s="15">
        <f t="shared" si="1363"/>
        <v>0</v>
      </c>
      <c r="O515" s="16">
        <f t="shared" si="1353"/>
        <v>0</v>
      </c>
      <c r="P515" s="16">
        <f t="shared" si="1354"/>
        <v>10</v>
      </c>
      <c r="Q515" s="16">
        <f t="shared" si="1355"/>
        <v>-20</v>
      </c>
      <c r="R515" s="14"/>
      <c r="S515" s="15">
        <f t="shared" si="1364"/>
        <v>0</v>
      </c>
      <c r="T515" s="14"/>
      <c r="U515" s="15">
        <f t="shared" si="1365"/>
        <v>0</v>
      </c>
      <c r="V515" s="16">
        <f t="shared" si="1366"/>
        <v>0</v>
      </c>
      <c r="W515" s="17">
        <f t="shared" si="1367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37</v>
      </c>
      <c r="D516" s="21" t="str">
        <f>Spieltag!B504</f>
        <v>Jan-Niklas Beste</v>
      </c>
      <c r="E516" s="12" t="str">
        <f>Spieltag!C504</f>
        <v>Mittelfeld</v>
      </c>
      <c r="F516" s="13" t="s">
        <v>659</v>
      </c>
      <c r="G516" s="14"/>
      <c r="H516" s="15">
        <f t="shared" si="1360"/>
        <v>0</v>
      </c>
      <c r="I516" s="14"/>
      <c r="J516" s="15">
        <f t="shared" si="1361"/>
        <v>0</v>
      </c>
      <c r="K516" s="14"/>
      <c r="L516" s="15">
        <f t="shared" si="1362"/>
        <v>0</v>
      </c>
      <c r="M516" s="14"/>
      <c r="N516" s="15">
        <f t="shared" si="1363"/>
        <v>0</v>
      </c>
      <c r="O516" s="16">
        <f t="shared" si="1353"/>
        <v>0</v>
      </c>
      <c r="P516" s="16">
        <f t="shared" si="1354"/>
        <v>10</v>
      </c>
      <c r="Q516" s="16">
        <f t="shared" si="1355"/>
        <v>-20</v>
      </c>
      <c r="R516" s="14"/>
      <c r="S516" s="15">
        <f t="shared" si="1364"/>
        <v>0</v>
      </c>
      <c r="T516" s="14"/>
      <c r="U516" s="15">
        <f t="shared" si="1365"/>
        <v>0</v>
      </c>
      <c r="V516" s="16">
        <f t="shared" si="1366"/>
        <v>0</v>
      </c>
      <c r="W516" s="17">
        <f t="shared" si="1367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9</v>
      </c>
      <c r="D517" s="21" t="str">
        <f>Spieltag!B505</f>
        <v>Stefan Schimmer</v>
      </c>
      <c r="E517" s="12" t="str">
        <f>Spieltag!C505</f>
        <v>Sturm</v>
      </c>
      <c r="F517" s="13" t="s">
        <v>659</v>
      </c>
      <c r="G517" s="14"/>
      <c r="H517" s="15">
        <f t="shared" ref="H517" si="1368">IF(G517="x",10,0)</f>
        <v>0</v>
      </c>
      <c r="I517" s="14"/>
      <c r="J517" s="15">
        <f t="shared" ref="J517" si="1369">IF((I517="x"),-10,0)</f>
        <v>0</v>
      </c>
      <c r="K517" s="14"/>
      <c r="L517" s="15">
        <f t="shared" ref="L517" si="1370">IF((K517="x"),-20,0)</f>
        <v>0</v>
      </c>
      <c r="M517" s="14"/>
      <c r="N517" s="15">
        <f t="shared" ref="N517" si="1371">IF((M517="x"),-30,0)</f>
        <v>0</v>
      </c>
      <c r="O517" s="16">
        <f>IF(AND($V$6&gt;$W$6),20,IF($V$6=$W$6,10,0))</f>
        <v>0</v>
      </c>
      <c r="P517" s="16">
        <f>IF(($V$6&lt;&gt;0),$V$6*10,-5)</f>
        <v>10</v>
      </c>
      <c r="Q517" s="16">
        <f>IF(($W$6&lt;&gt;0),$W$6*-10,5)</f>
        <v>-20</v>
      </c>
      <c r="R517" s="14"/>
      <c r="S517" s="15">
        <f t="shared" ref="S517" si="1372">R517*10</f>
        <v>0</v>
      </c>
      <c r="T517" s="14"/>
      <c r="U517" s="15">
        <f t="shared" ref="U517" si="1373">T517*-15</f>
        <v>0</v>
      </c>
      <c r="V517" s="16">
        <f t="shared" ref="V517" si="1374">IF(AND(R517=2),10,IF(R517=3,30,IF(R517=4,50,IF(R517=5,70,0))))</f>
        <v>0</v>
      </c>
      <c r="W517" s="17">
        <f t="shared" ref="W517" si="13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10</v>
      </c>
      <c r="D518" s="21" t="str">
        <f>Spieltag!B506</f>
        <v>Tim Kleindienst</v>
      </c>
      <c r="E518" s="12" t="str">
        <f>Spieltag!C506</f>
        <v>Sturm</v>
      </c>
      <c r="F518" s="13" t="s">
        <v>659</v>
      </c>
      <c r="G518" s="14"/>
      <c r="H518" s="15">
        <f t="shared" ref="H518" si="1376">IF(G518="x",10,0)</f>
        <v>0</v>
      </c>
      <c r="I518" s="14"/>
      <c r="J518" s="15">
        <f t="shared" ref="J518" si="1377">IF((I518="x"),-10,0)</f>
        <v>0</v>
      </c>
      <c r="K518" s="14"/>
      <c r="L518" s="15">
        <f t="shared" ref="L518" si="1378">IF((K518="x"),-20,0)</f>
        <v>0</v>
      </c>
      <c r="M518" s="14"/>
      <c r="N518" s="15">
        <f t="shared" ref="N518" si="1379">IF((M518="x"),-30,0)</f>
        <v>0</v>
      </c>
      <c r="O518" s="16">
        <f t="shared" ref="O518:O522" si="1380">IF(AND($V$6&gt;$W$6),20,IF($V$6=$W$6,10,0))</f>
        <v>0</v>
      </c>
      <c r="P518" s="16">
        <f t="shared" ref="P518:P522" si="1381">IF(($V$6&lt;&gt;0),$V$6*10,-5)</f>
        <v>10</v>
      </c>
      <c r="Q518" s="16">
        <f t="shared" ref="Q518:Q522" si="1382">IF(($W$6&lt;&gt;0),$W$6*-10,5)</f>
        <v>-20</v>
      </c>
      <c r="R518" s="14"/>
      <c r="S518" s="15">
        <f t="shared" ref="S518" si="1383">R518*10</f>
        <v>0</v>
      </c>
      <c r="T518" s="14"/>
      <c r="U518" s="15">
        <f t="shared" ref="U518" si="1384">T518*-15</f>
        <v>0</v>
      </c>
      <c r="V518" s="16">
        <f t="shared" ref="V518" si="1385">IF(AND(R518=2),10,IF(R518=3,30,IF(R518=4,50,IF(R518=5,70,0))))</f>
        <v>0</v>
      </c>
      <c r="W518" s="17">
        <f t="shared" ref="W518" si="1386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18</v>
      </c>
      <c r="D519" s="21" t="str">
        <f>Spieltag!B507</f>
        <v>Marvin Pieringer</v>
      </c>
      <c r="E519" s="12" t="str">
        <f>Spieltag!C507</f>
        <v>Sturm</v>
      </c>
      <c r="F519" s="13" t="s">
        <v>659</v>
      </c>
      <c r="G519" s="14"/>
      <c r="H519" s="15">
        <f t="shared" ref="H519:H522" si="1387">IF(G519="x",10,0)</f>
        <v>0</v>
      </c>
      <c r="I519" s="14"/>
      <c r="J519" s="15">
        <f t="shared" ref="J519:J522" si="1388">IF((I519="x"),-10,0)</f>
        <v>0</v>
      </c>
      <c r="K519" s="14"/>
      <c r="L519" s="15">
        <f t="shared" ref="L519:L522" si="1389">IF((K519="x"),-20,0)</f>
        <v>0</v>
      </c>
      <c r="M519" s="14"/>
      <c r="N519" s="15">
        <f t="shared" ref="N519:N522" si="1390">IF((M519="x"),-30,0)</f>
        <v>0</v>
      </c>
      <c r="O519" s="16">
        <f t="shared" si="1380"/>
        <v>0</v>
      </c>
      <c r="P519" s="16">
        <f t="shared" si="1381"/>
        <v>10</v>
      </c>
      <c r="Q519" s="16">
        <f t="shared" si="1382"/>
        <v>-20</v>
      </c>
      <c r="R519" s="14"/>
      <c r="S519" s="15">
        <f t="shared" ref="S519:S522" si="1391">R519*10</f>
        <v>0</v>
      </c>
      <c r="T519" s="14"/>
      <c r="U519" s="15">
        <f t="shared" ref="U519:U522" si="1392">T519*-15</f>
        <v>0</v>
      </c>
      <c r="V519" s="16">
        <f t="shared" ref="V519:V522" si="1393">IF(AND(R519=2),10,IF(R519=3,30,IF(R519=4,50,IF(R519=5,70,0))))</f>
        <v>0</v>
      </c>
      <c r="W519" s="17">
        <f t="shared" ref="W519:W522" si="1394">IF(G519="x",H519+J519+L519+N519+O519+P519+Q519+S519+U519+V519,0)</f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20</v>
      </c>
      <c r="D520" s="21" t="str">
        <f>Spieltag!B508</f>
        <v>Nikola Dovedan (A)</v>
      </c>
      <c r="E520" s="12" t="str">
        <f>Spieltag!C508</f>
        <v>Sturm</v>
      </c>
      <c r="F520" s="13" t="s">
        <v>659</v>
      </c>
      <c r="G520" s="14"/>
      <c r="H520" s="15">
        <f t="shared" si="1387"/>
        <v>0</v>
      </c>
      <c r="I520" s="14"/>
      <c r="J520" s="15">
        <f t="shared" si="1388"/>
        <v>0</v>
      </c>
      <c r="K520" s="14"/>
      <c r="L520" s="15">
        <f t="shared" si="1389"/>
        <v>0</v>
      </c>
      <c r="M520" s="14"/>
      <c r="N520" s="15">
        <f t="shared" si="1390"/>
        <v>0</v>
      </c>
      <c r="O520" s="16">
        <f t="shared" si="1380"/>
        <v>0</v>
      </c>
      <c r="P520" s="16">
        <f t="shared" si="1381"/>
        <v>10</v>
      </c>
      <c r="Q520" s="16">
        <f t="shared" si="1382"/>
        <v>-20</v>
      </c>
      <c r="R520" s="14"/>
      <c r="S520" s="15">
        <f t="shared" si="1391"/>
        <v>0</v>
      </c>
      <c r="T520" s="14"/>
      <c r="U520" s="15">
        <f t="shared" si="1392"/>
        <v>0</v>
      </c>
      <c r="V520" s="16">
        <f t="shared" si="1393"/>
        <v>0</v>
      </c>
      <c r="W520" s="17">
        <f t="shared" si="1394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24</v>
      </c>
      <c r="D521" s="21" t="str">
        <f>Spieltag!B509</f>
        <v>Christian Kühlwetter</v>
      </c>
      <c r="E521" s="12" t="str">
        <f>Spieltag!C509</f>
        <v>Sturm</v>
      </c>
      <c r="F521" s="13" t="s">
        <v>659</v>
      </c>
      <c r="G521" s="14"/>
      <c r="H521" s="15">
        <f t="shared" ref="H521" si="1395">IF(G521="x",10,0)</f>
        <v>0</v>
      </c>
      <c r="I521" s="14"/>
      <c r="J521" s="15">
        <f t="shared" ref="J521" si="1396">IF((I521="x"),-10,0)</f>
        <v>0</v>
      </c>
      <c r="K521" s="14"/>
      <c r="L521" s="15">
        <f t="shared" ref="L521" si="1397">IF((K521="x"),-20,0)</f>
        <v>0</v>
      </c>
      <c r="M521" s="14"/>
      <c r="N521" s="15">
        <f t="shared" ref="N521" si="1398">IF((M521="x"),-30,0)</f>
        <v>0</v>
      </c>
      <c r="O521" s="16">
        <f t="shared" si="1380"/>
        <v>0</v>
      </c>
      <c r="P521" s="16">
        <f t="shared" si="1381"/>
        <v>10</v>
      </c>
      <c r="Q521" s="16">
        <f t="shared" si="1382"/>
        <v>-20</v>
      </c>
      <c r="R521" s="14"/>
      <c r="S521" s="15">
        <f t="shared" ref="S521" si="1399">R521*10</f>
        <v>0</v>
      </c>
      <c r="T521" s="14"/>
      <c r="U521" s="15">
        <f t="shared" ref="U521" si="1400">T521*-15</f>
        <v>0</v>
      </c>
      <c r="V521" s="16">
        <f t="shared" ref="V521" si="1401">IF(AND(R521=2),10,IF(R521=3,30,IF(R521=4,50,IF(R521=5,70,0))))</f>
        <v>0</v>
      </c>
      <c r="W521" s="17">
        <f t="shared" ref="W521" si="140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44</v>
      </c>
      <c r="D522" s="21" t="str">
        <f>Spieltag!B510</f>
        <v>Elidon Qenaj</v>
      </c>
      <c r="E522" s="12" t="str">
        <f>Spieltag!C510</f>
        <v>Sturm</v>
      </c>
      <c r="F522" s="13" t="s">
        <v>659</v>
      </c>
      <c r="G522" s="14"/>
      <c r="H522" s="15">
        <f t="shared" si="1387"/>
        <v>0</v>
      </c>
      <c r="I522" s="14"/>
      <c r="J522" s="15">
        <f t="shared" si="1388"/>
        <v>0</v>
      </c>
      <c r="K522" s="14"/>
      <c r="L522" s="15">
        <f t="shared" si="1389"/>
        <v>0</v>
      </c>
      <c r="M522" s="14"/>
      <c r="N522" s="15">
        <f t="shared" si="1390"/>
        <v>0</v>
      </c>
      <c r="O522" s="16">
        <f t="shared" si="1380"/>
        <v>0</v>
      </c>
      <c r="P522" s="16">
        <f t="shared" si="1381"/>
        <v>10</v>
      </c>
      <c r="Q522" s="16">
        <f t="shared" si="1382"/>
        <v>-20</v>
      </c>
      <c r="R522" s="14"/>
      <c r="S522" s="15">
        <f t="shared" si="1391"/>
        <v>0</v>
      </c>
      <c r="T522" s="14"/>
      <c r="U522" s="15">
        <f t="shared" si="1392"/>
        <v>0</v>
      </c>
      <c r="V522" s="16">
        <f t="shared" si="1393"/>
        <v>0</v>
      </c>
      <c r="W522" s="17">
        <f t="shared" si="1394"/>
        <v>0</v>
      </c>
    </row>
    <row r="523" spans="1:23" s="144" customFormat="1" ht="17.25" hidden="1" thickBot="1" x14ac:dyDescent="0.25">
      <c r="A523" s="142"/>
      <c r="B523" s="143">
        <f>SUM(B524:B553)</f>
        <v>0</v>
      </c>
      <c r="C523" s="158"/>
      <c r="D523" s="234" t="s">
        <v>426</v>
      </c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5"/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</v>
      </c>
      <c r="D524" s="21" t="str">
        <f>Spieltag!B512</f>
        <v>Marcel Schuhen</v>
      </c>
      <c r="E524" s="12" t="str">
        <f>Spieltag!C512</f>
        <v>Torwart</v>
      </c>
      <c r="F524" s="13" t="s">
        <v>660</v>
      </c>
      <c r="G524" s="14"/>
      <c r="H524" s="15">
        <f t="shared" ref="H524" si="1403">IF(G524="x",10,0)</f>
        <v>0</v>
      </c>
      <c r="I524" s="14"/>
      <c r="J524" s="15">
        <f t="shared" ref="J524" si="1404">IF((I524="x"),-10,0)</f>
        <v>0</v>
      </c>
      <c r="K524" s="14"/>
      <c r="L524" s="15">
        <f t="shared" ref="L524" si="1405">IF((K524="x"),-20,0)</f>
        <v>0</v>
      </c>
      <c r="M524" s="14"/>
      <c r="N524" s="15">
        <f t="shared" ref="N524" si="1406">IF((M524="x"),-30,0)</f>
        <v>0</v>
      </c>
      <c r="O524" s="16">
        <f t="shared" ref="O524:O546" si="1407">IF(AND($P$7&gt;$Q$7),20,IF($P$7=$Q$7,10,0))</f>
        <v>0</v>
      </c>
      <c r="P524" s="16">
        <f t="shared" ref="P524:P546" si="1408">IF(($P$7&lt;&gt;0),$P$7*10,-5)</f>
        <v>-5</v>
      </c>
      <c r="Q524" s="16">
        <f t="shared" ref="Q524:Q527" si="1409">IF(($Q$7&lt;&gt;0),$Q$7*-10,20)</f>
        <v>-10</v>
      </c>
      <c r="R524" s="14"/>
      <c r="S524" s="15">
        <f t="shared" ref="S524" si="1410">R524*20</f>
        <v>0</v>
      </c>
      <c r="T524" s="14"/>
      <c r="U524" s="15">
        <f t="shared" ref="U524" si="1411">T524*-15</f>
        <v>0</v>
      </c>
      <c r="V524" s="16">
        <f t="shared" ref="V524" si="1412">IF(AND(R524=2),10,IF(R524=3,30,IF(R524=4,50,IF(R524=5,70,0))))</f>
        <v>0</v>
      </c>
      <c r="W524" s="17">
        <f t="shared" ref="W524" si="1413">IF(G524="x",H524+J524+L524+N524+O524+P524+Q524+S524+U524+V524,0)</f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13</v>
      </c>
      <c r="D525" s="21" t="str">
        <f>Spieltag!B513</f>
        <v>Morten Behrens</v>
      </c>
      <c r="E525" s="12" t="str">
        <f>Spieltag!C513</f>
        <v>Torwart</v>
      </c>
      <c r="F525" s="13" t="s">
        <v>660</v>
      </c>
      <c r="G525" s="14"/>
      <c r="H525" s="15">
        <f t="shared" ref="H525:H526" si="1414">IF(G525="x",10,0)</f>
        <v>0</v>
      </c>
      <c r="I525" s="14"/>
      <c r="J525" s="15">
        <f t="shared" ref="J525:J526" si="1415">IF((I525="x"),-10,0)</f>
        <v>0</v>
      </c>
      <c r="K525" s="14"/>
      <c r="L525" s="15">
        <f t="shared" ref="L525:L526" si="1416">IF((K525="x"),-20,0)</f>
        <v>0</v>
      </c>
      <c r="M525" s="14"/>
      <c r="N525" s="15">
        <f t="shared" ref="N525:N526" si="1417">IF((M525="x"),-30,0)</f>
        <v>0</v>
      </c>
      <c r="O525" s="16">
        <f t="shared" si="1407"/>
        <v>0</v>
      </c>
      <c r="P525" s="16">
        <f t="shared" si="1408"/>
        <v>-5</v>
      </c>
      <c r="Q525" s="16">
        <f t="shared" si="1409"/>
        <v>-10</v>
      </c>
      <c r="R525" s="14"/>
      <c r="S525" s="15">
        <f t="shared" ref="S525:S526" si="1418">R525*20</f>
        <v>0</v>
      </c>
      <c r="T525" s="14"/>
      <c r="U525" s="15">
        <f t="shared" ref="U525:U526" si="1419">T525*-15</f>
        <v>0</v>
      </c>
      <c r="V525" s="16">
        <f t="shared" ref="V525:V526" si="1420">IF(AND(R525=2),10,IF(R525=3,30,IF(R525=4,50,IF(R525=5,70,0))))</f>
        <v>0</v>
      </c>
      <c r="W525" s="17">
        <f t="shared" ref="W525:W526" si="1421">IF(G525="x",H525+J525+L525+N525+O525+P525+Q525+S525+U525+V525,0)</f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30</v>
      </c>
      <c r="D526" s="21" t="str">
        <f>Spieltag!B514</f>
        <v>Alexander Brunst</v>
      </c>
      <c r="E526" s="12" t="str">
        <f>Spieltag!C514</f>
        <v>Torwart</v>
      </c>
      <c r="F526" s="13" t="s">
        <v>660</v>
      </c>
      <c r="G526" s="14"/>
      <c r="H526" s="15">
        <f t="shared" si="1414"/>
        <v>0</v>
      </c>
      <c r="I526" s="14"/>
      <c r="J526" s="15">
        <f t="shared" si="1415"/>
        <v>0</v>
      </c>
      <c r="K526" s="14"/>
      <c r="L526" s="15">
        <f t="shared" si="1416"/>
        <v>0</v>
      </c>
      <c r="M526" s="14"/>
      <c r="N526" s="15">
        <f t="shared" si="1417"/>
        <v>0</v>
      </c>
      <c r="O526" s="16">
        <f t="shared" si="1407"/>
        <v>0</v>
      </c>
      <c r="P526" s="16">
        <f t="shared" si="1408"/>
        <v>-5</v>
      </c>
      <c r="Q526" s="16">
        <f t="shared" si="1409"/>
        <v>-10</v>
      </c>
      <c r="R526" s="14"/>
      <c r="S526" s="15">
        <f t="shared" si="1418"/>
        <v>0</v>
      </c>
      <c r="T526" s="14"/>
      <c r="U526" s="15">
        <f t="shared" si="1419"/>
        <v>0</v>
      </c>
      <c r="V526" s="16">
        <f t="shared" si="1420"/>
        <v>0</v>
      </c>
      <c r="W526" s="17">
        <f t="shared" si="142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45</v>
      </c>
      <c r="D527" s="21" t="str">
        <f>Spieltag!B515</f>
        <v>Max Wendt</v>
      </c>
      <c r="E527" s="12" t="str">
        <f>Spieltag!C515</f>
        <v>Torwart</v>
      </c>
      <c r="F527" s="13" t="s">
        <v>660</v>
      </c>
      <c r="G527" s="14"/>
      <c r="H527" s="15">
        <f t="shared" ref="H527" si="1422">IF(G527="x",10,0)</f>
        <v>0</v>
      </c>
      <c r="I527" s="14"/>
      <c r="J527" s="15">
        <f t="shared" ref="J527" si="1423">IF((I527="x"),-10,0)</f>
        <v>0</v>
      </c>
      <c r="K527" s="14"/>
      <c r="L527" s="15">
        <f t="shared" ref="L527" si="1424">IF((K527="x"),-20,0)</f>
        <v>0</v>
      </c>
      <c r="M527" s="14"/>
      <c r="N527" s="15">
        <f t="shared" ref="N527" si="1425">IF((M527="x"),-30,0)</f>
        <v>0</v>
      </c>
      <c r="O527" s="16">
        <f t="shared" si="1407"/>
        <v>0</v>
      </c>
      <c r="P527" s="16">
        <f t="shared" si="1408"/>
        <v>-5</v>
      </c>
      <c r="Q527" s="16">
        <f t="shared" si="1409"/>
        <v>-10</v>
      </c>
      <c r="R527" s="14"/>
      <c r="S527" s="15">
        <f t="shared" ref="S527" si="1426">R527*20</f>
        <v>0</v>
      </c>
      <c r="T527" s="14"/>
      <c r="U527" s="15">
        <f t="shared" ref="U527" si="1427">T527*-15</f>
        <v>0</v>
      </c>
      <c r="V527" s="16">
        <f t="shared" ref="V527" si="1428">IF(AND(R527=2),10,IF(R527=3,30,IF(R527=4,50,IF(R527=5,70,0))))</f>
        <v>0</v>
      </c>
      <c r="W527" s="17">
        <f t="shared" ref="W527" si="142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3</v>
      </c>
      <c r="D528" s="21" t="str">
        <f>Spieltag!B516</f>
        <v>Thomas Isherwood (A)</v>
      </c>
      <c r="E528" s="12" t="str">
        <f>Spieltag!C516</f>
        <v>Abwehr</v>
      </c>
      <c r="F528" s="13" t="s">
        <v>660</v>
      </c>
      <c r="G528" s="14"/>
      <c r="H528" s="15">
        <f t="shared" ref="H528" si="1430">IF(G528="x",10,0)</f>
        <v>0</v>
      </c>
      <c r="I528" s="14"/>
      <c r="J528" s="15">
        <f t="shared" ref="J528" si="1431">IF((I528="x"),-10,0)</f>
        <v>0</v>
      </c>
      <c r="K528" s="14"/>
      <c r="L528" s="15">
        <f t="shared" ref="L528" si="1432">IF((K528="x"),-20,0)</f>
        <v>0</v>
      </c>
      <c r="M528" s="14"/>
      <c r="N528" s="15">
        <f t="shared" ref="N528" si="1433">IF((M528="x"),-30,0)</f>
        <v>0</v>
      </c>
      <c r="O528" s="16">
        <f t="shared" si="1407"/>
        <v>0</v>
      </c>
      <c r="P528" s="16">
        <f t="shared" si="1408"/>
        <v>-5</v>
      </c>
      <c r="Q528" s="16">
        <f t="shared" ref="Q528:Q537" si="1434">IF(($Q$7&lt;&gt;0),$Q$7*-10,15)</f>
        <v>-10</v>
      </c>
      <c r="R528" s="14"/>
      <c r="S528" s="15">
        <f t="shared" ref="S528" si="1435">R528*15</f>
        <v>0</v>
      </c>
      <c r="T528" s="14"/>
      <c r="U528" s="15">
        <f t="shared" ref="U528" si="1436">T528*-15</f>
        <v>0</v>
      </c>
      <c r="V528" s="16">
        <f t="shared" ref="V528" si="1437">IF(AND(R528=2),10,IF(R528=3,30,IF(R528=4,50,IF(R528=5,70,0))))</f>
        <v>0</v>
      </c>
      <c r="W528" s="17">
        <f t="shared" ref="W528" si="1438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4</v>
      </c>
      <c r="D529" s="21" t="str">
        <f>Spieltag!B517</f>
        <v>Christoph Zimmermann</v>
      </c>
      <c r="E529" s="12" t="str">
        <f>Spieltag!C517</f>
        <v>Abwehr</v>
      </c>
      <c r="F529" s="13" t="s">
        <v>660</v>
      </c>
      <c r="G529" s="14"/>
      <c r="H529" s="15">
        <f t="shared" ref="H529:H537" si="1439">IF(G529="x",10,0)</f>
        <v>0</v>
      </c>
      <c r="I529" s="14"/>
      <c r="J529" s="15">
        <f t="shared" ref="J529:J537" si="1440">IF((I529="x"),-10,0)</f>
        <v>0</v>
      </c>
      <c r="K529" s="14"/>
      <c r="L529" s="15">
        <f t="shared" ref="L529:L537" si="1441">IF((K529="x"),-20,0)</f>
        <v>0</v>
      </c>
      <c r="M529" s="14"/>
      <c r="N529" s="15">
        <f t="shared" ref="N529:N537" si="1442">IF((M529="x"),-30,0)</f>
        <v>0</v>
      </c>
      <c r="O529" s="16">
        <f t="shared" si="1407"/>
        <v>0</v>
      </c>
      <c r="P529" s="16">
        <f t="shared" si="1408"/>
        <v>-5</v>
      </c>
      <c r="Q529" s="16">
        <f t="shared" si="1434"/>
        <v>-10</v>
      </c>
      <c r="R529" s="14"/>
      <c r="S529" s="15">
        <f t="shared" ref="S529:S537" si="1443">R529*15</f>
        <v>0</v>
      </c>
      <c r="T529" s="14"/>
      <c r="U529" s="15">
        <f t="shared" ref="U529:U537" si="1444">T529*-15</f>
        <v>0</v>
      </c>
      <c r="V529" s="16">
        <f t="shared" ref="V529:V537" si="1445">IF(AND(R529=2),10,IF(R529=3,30,IF(R529=4,50,IF(R529=5,70,0))))</f>
        <v>0</v>
      </c>
      <c r="W529" s="17">
        <f t="shared" ref="W529:W537" si="1446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5</v>
      </c>
      <c r="D530" s="21" t="str">
        <f>Spieltag!B518</f>
        <v>Matej Maglica (A)</v>
      </c>
      <c r="E530" s="12" t="str">
        <f>Spieltag!C518</f>
        <v>Abwehr</v>
      </c>
      <c r="F530" s="13" t="s">
        <v>660</v>
      </c>
      <c r="G530" s="14"/>
      <c r="H530" s="15">
        <f t="shared" si="1439"/>
        <v>0</v>
      </c>
      <c r="I530" s="14"/>
      <c r="J530" s="15">
        <f t="shared" si="1440"/>
        <v>0</v>
      </c>
      <c r="K530" s="14"/>
      <c r="L530" s="15">
        <f t="shared" si="1441"/>
        <v>0</v>
      </c>
      <c r="M530" s="14"/>
      <c r="N530" s="15">
        <f t="shared" si="1442"/>
        <v>0</v>
      </c>
      <c r="O530" s="16">
        <f t="shared" si="1407"/>
        <v>0</v>
      </c>
      <c r="P530" s="16">
        <f t="shared" si="1408"/>
        <v>-5</v>
      </c>
      <c r="Q530" s="16">
        <f t="shared" si="1434"/>
        <v>-10</v>
      </c>
      <c r="R530" s="14"/>
      <c r="S530" s="15">
        <f t="shared" si="1443"/>
        <v>0</v>
      </c>
      <c r="T530" s="14"/>
      <c r="U530" s="15">
        <f t="shared" si="1444"/>
        <v>0</v>
      </c>
      <c r="V530" s="16">
        <f t="shared" si="1445"/>
        <v>0</v>
      </c>
      <c r="W530" s="17">
        <f t="shared" si="144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14</v>
      </c>
      <c r="D531" s="21" t="str">
        <f>Spieltag!B519</f>
        <v>Christoph Klarer (A)</v>
      </c>
      <c r="E531" s="12" t="str">
        <f>Spieltag!C519</f>
        <v>Abwehr</v>
      </c>
      <c r="F531" s="13" t="s">
        <v>660</v>
      </c>
      <c r="G531" s="14"/>
      <c r="H531" s="15">
        <f t="shared" si="1439"/>
        <v>0</v>
      </c>
      <c r="I531" s="14"/>
      <c r="J531" s="15">
        <f t="shared" si="1440"/>
        <v>0</v>
      </c>
      <c r="K531" s="14"/>
      <c r="L531" s="15">
        <f t="shared" si="1441"/>
        <v>0</v>
      </c>
      <c r="M531" s="14"/>
      <c r="N531" s="15">
        <f t="shared" si="1442"/>
        <v>0</v>
      </c>
      <c r="O531" s="16">
        <f t="shared" si="1407"/>
        <v>0</v>
      </c>
      <c r="P531" s="16">
        <f t="shared" si="1408"/>
        <v>-5</v>
      </c>
      <c r="Q531" s="16">
        <f t="shared" si="1434"/>
        <v>-10</v>
      </c>
      <c r="R531" s="14"/>
      <c r="S531" s="15">
        <f t="shared" si="1443"/>
        <v>0</v>
      </c>
      <c r="T531" s="14"/>
      <c r="U531" s="15">
        <f t="shared" si="1444"/>
        <v>0</v>
      </c>
      <c r="V531" s="16">
        <f t="shared" si="1445"/>
        <v>0</v>
      </c>
      <c r="W531" s="17">
        <f t="shared" si="144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17</v>
      </c>
      <c r="D532" s="21" t="str">
        <f>Spieltag!B520</f>
        <v>Frank Ronstadt</v>
      </c>
      <c r="E532" s="12" t="str">
        <f>Spieltag!C520</f>
        <v>Abwehr</v>
      </c>
      <c r="F532" s="13" t="s">
        <v>660</v>
      </c>
      <c r="G532" s="14"/>
      <c r="H532" s="15">
        <f t="shared" si="1439"/>
        <v>0</v>
      </c>
      <c r="I532" s="14"/>
      <c r="J532" s="15">
        <f t="shared" si="1440"/>
        <v>0</v>
      </c>
      <c r="K532" s="14"/>
      <c r="L532" s="15">
        <f t="shared" si="1441"/>
        <v>0</v>
      </c>
      <c r="M532" s="14"/>
      <c r="N532" s="15">
        <f t="shared" si="1442"/>
        <v>0</v>
      </c>
      <c r="O532" s="16">
        <f t="shared" si="1407"/>
        <v>0</v>
      </c>
      <c r="P532" s="16">
        <f t="shared" si="1408"/>
        <v>-5</v>
      </c>
      <c r="Q532" s="16">
        <f t="shared" si="1434"/>
        <v>-10</v>
      </c>
      <c r="R532" s="14"/>
      <c r="S532" s="15">
        <f t="shared" si="1443"/>
        <v>0</v>
      </c>
      <c r="T532" s="14"/>
      <c r="U532" s="15">
        <f t="shared" si="1444"/>
        <v>0</v>
      </c>
      <c r="V532" s="16">
        <f t="shared" si="1445"/>
        <v>0</v>
      </c>
      <c r="W532" s="17">
        <f t="shared" si="1446"/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19</v>
      </c>
      <c r="D533" s="21" t="str">
        <f>Spieltag!B521</f>
        <v>Emir Karic (A)</v>
      </c>
      <c r="E533" s="12" t="str">
        <f>Spieltag!C521</f>
        <v>Abwehr</v>
      </c>
      <c r="F533" s="13" t="s">
        <v>660</v>
      </c>
      <c r="G533" s="14"/>
      <c r="H533" s="15">
        <f t="shared" si="1439"/>
        <v>0</v>
      </c>
      <c r="I533" s="14"/>
      <c r="J533" s="15">
        <f t="shared" si="1440"/>
        <v>0</v>
      </c>
      <c r="K533" s="14"/>
      <c r="L533" s="15">
        <f t="shared" si="1441"/>
        <v>0</v>
      </c>
      <c r="M533" s="14"/>
      <c r="N533" s="15">
        <f t="shared" si="1442"/>
        <v>0</v>
      </c>
      <c r="O533" s="16">
        <f t="shared" si="1407"/>
        <v>0</v>
      </c>
      <c r="P533" s="16">
        <f t="shared" si="1408"/>
        <v>-5</v>
      </c>
      <c r="Q533" s="16">
        <f t="shared" si="1434"/>
        <v>-10</v>
      </c>
      <c r="R533" s="14"/>
      <c r="S533" s="15">
        <f t="shared" si="1443"/>
        <v>0</v>
      </c>
      <c r="T533" s="14"/>
      <c r="U533" s="15">
        <f t="shared" si="1444"/>
        <v>0</v>
      </c>
      <c r="V533" s="16">
        <f t="shared" si="1445"/>
        <v>0</v>
      </c>
      <c r="W533" s="17">
        <f t="shared" si="1446"/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20</v>
      </c>
      <c r="D534" s="21" t="str">
        <f>Spieltag!B522</f>
        <v>Jannik Müller</v>
      </c>
      <c r="E534" s="12" t="str">
        <f>Spieltag!C522</f>
        <v>Abwehr</v>
      </c>
      <c r="F534" s="13" t="s">
        <v>660</v>
      </c>
      <c r="G534" s="14"/>
      <c r="H534" s="15">
        <f t="shared" si="1439"/>
        <v>0</v>
      </c>
      <c r="I534" s="14"/>
      <c r="J534" s="15">
        <f t="shared" si="1440"/>
        <v>0</v>
      </c>
      <c r="K534" s="14"/>
      <c r="L534" s="15">
        <f t="shared" si="1441"/>
        <v>0</v>
      </c>
      <c r="M534" s="14"/>
      <c r="N534" s="15">
        <f t="shared" si="1442"/>
        <v>0</v>
      </c>
      <c r="O534" s="16">
        <f t="shared" si="1407"/>
        <v>0</v>
      </c>
      <c r="P534" s="16">
        <f t="shared" si="1408"/>
        <v>-5</v>
      </c>
      <c r="Q534" s="16">
        <f t="shared" si="1434"/>
        <v>-10</v>
      </c>
      <c r="R534" s="14"/>
      <c r="S534" s="15">
        <f t="shared" si="1443"/>
        <v>0</v>
      </c>
      <c r="T534" s="14"/>
      <c r="U534" s="15">
        <f t="shared" si="1444"/>
        <v>0</v>
      </c>
      <c r="V534" s="16">
        <f t="shared" si="1445"/>
        <v>0</v>
      </c>
      <c r="W534" s="17">
        <f t="shared" si="1446"/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26</v>
      </c>
      <c r="D535" s="21" t="str">
        <f>Spieltag!B523</f>
        <v>Matthias Bader</v>
      </c>
      <c r="E535" s="12" t="str">
        <f>Spieltag!C523</f>
        <v>Abwehr</v>
      </c>
      <c r="F535" s="13" t="s">
        <v>660</v>
      </c>
      <c r="G535" s="14"/>
      <c r="H535" s="15">
        <f t="shared" si="1439"/>
        <v>0</v>
      </c>
      <c r="I535" s="14"/>
      <c r="J535" s="15">
        <f t="shared" si="1440"/>
        <v>0</v>
      </c>
      <c r="K535" s="14"/>
      <c r="L535" s="15">
        <f t="shared" si="1441"/>
        <v>0</v>
      </c>
      <c r="M535" s="14"/>
      <c r="N535" s="15">
        <f t="shared" si="1442"/>
        <v>0</v>
      </c>
      <c r="O535" s="16">
        <f t="shared" si="1407"/>
        <v>0</v>
      </c>
      <c r="P535" s="16">
        <f t="shared" si="1408"/>
        <v>-5</v>
      </c>
      <c r="Q535" s="16">
        <f t="shared" si="1434"/>
        <v>-10</v>
      </c>
      <c r="R535" s="14"/>
      <c r="S535" s="15">
        <f t="shared" si="1443"/>
        <v>0</v>
      </c>
      <c r="T535" s="14"/>
      <c r="U535" s="15">
        <f t="shared" si="1444"/>
        <v>0</v>
      </c>
      <c r="V535" s="16">
        <f t="shared" si="1445"/>
        <v>0</v>
      </c>
      <c r="W535" s="17">
        <f t="shared" si="1446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32</v>
      </c>
      <c r="D536" s="21" t="str">
        <f>Spieltag!B524</f>
        <v>Fabian Holland</v>
      </c>
      <c r="E536" s="12" t="str">
        <f>Spieltag!C524</f>
        <v>Abwehr</v>
      </c>
      <c r="F536" s="13" t="s">
        <v>660</v>
      </c>
      <c r="G536" s="14"/>
      <c r="H536" s="15">
        <f t="shared" si="1439"/>
        <v>0</v>
      </c>
      <c r="I536" s="14"/>
      <c r="J536" s="15">
        <f t="shared" si="1440"/>
        <v>0</v>
      </c>
      <c r="K536" s="14"/>
      <c r="L536" s="15">
        <f t="shared" si="1441"/>
        <v>0</v>
      </c>
      <c r="M536" s="14"/>
      <c r="N536" s="15">
        <f t="shared" si="1442"/>
        <v>0</v>
      </c>
      <c r="O536" s="16">
        <f t="shared" si="1407"/>
        <v>0</v>
      </c>
      <c r="P536" s="16">
        <f t="shared" si="1408"/>
        <v>-5</v>
      </c>
      <c r="Q536" s="16">
        <f t="shared" si="1434"/>
        <v>-10</v>
      </c>
      <c r="R536" s="14"/>
      <c r="S536" s="15">
        <f t="shared" si="1443"/>
        <v>0</v>
      </c>
      <c r="T536" s="14"/>
      <c r="U536" s="15">
        <f t="shared" si="1444"/>
        <v>0</v>
      </c>
      <c r="V536" s="16">
        <f t="shared" si="1445"/>
        <v>0</v>
      </c>
      <c r="W536" s="17">
        <f t="shared" si="1446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38</v>
      </c>
      <c r="D537" s="21" t="str">
        <f>Spieltag!B525</f>
        <v>Clemens Riedel</v>
      </c>
      <c r="E537" s="12" t="str">
        <f>Spieltag!C525</f>
        <v>Abwehr</v>
      </c>
      <c r="F537" s="13" t="s">
        <v>660</v>
      </c>
      <c r="G537" s="14"/>
      <c r="H537" s="15">
        <f t="shared" si="1439"/>
        <v>0</v>
      </c>
      <c r="I537" s="14"/>
      <c r="J537" s="15">
        <f t="shared" si="1440"/>
        <v>0</v>
      </c>
      <c r="K537" s="14"/>
      <c r="L537" s="15">
        <f t="shared" si="1441"/>
        <v>0</v>
      </c>
      <c r="M537" s="14"/>
      <c r="N537" s="15">
        <f t="shared" si="1442"/>
        <v>0</v>
      </c>
      <c r="O537" s="16">
        <f t="shared" si="1407"/>
        <v>0</v>
      </c>
      <c r="P537" s="16">
        <f t="shared" si="1408"/>
        <v>-5</v>
      </c>
      <c r="Q537" s="16">
        <f t="shared" si="1434"/>
        <v>-10</v>
      </c>
      <c r="R537" s="14"/>
      <c r="S537" s="15">
        <f t="shared" si="1443"/>
        <v>0</v>
      </c>
      <c r="T537" s="14"/>
      <c r="U537" s="15">
        <f t="shared" si="1444"/>
        <v>0</v>
      </c>
      <c r="V537" s="16">
        <f t="shared" si="1445"/>
        <v>0</v>
      </c>
      <c r="W537" s="17">
        <f t="shared" si="1446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6</v>
      </c>
      <c r="D538" s="21" t="str">
        <f>Spieltag!B526</f>
        <v>Marvin Mehlem</v>
      </c>
      <c r="E538" s="12" t="str">
        <f>Spieltag!C526</f>
        <v>Mittelfeld</v>
      </c>
      <c r="F538" s="13" t="s">
        <v>660</v>
      </c>
      <c r="G538" s="14"/>
      <c r="H538" s="15">
        <f t="shared" ref="H538" si="1447">IF(G538="x",10,0)</f>
        <v>0</v>
      </c>
      <c r="I538" s="14"/>
      <c r="J538" s="15">
        <f t="shared" ref="J538" si="1448">IF((I538="x"),-10,0)</f>
        <v>0</v>
      </c>
      <c r="K538" s="14"/>
      <c r="L538" s="15">
        <f t="shared" ref="L538" si="1449">IF((K538="x"),-20,0)</f>
        <v>0</v>
      </c>
      <c r="M538" s="14"/>
      <c r="N538" s="15">
        <f t="shared" ref="N538" si="1450">IF((M538="x"),-30,0)</f>
        <v>0</v>
      </c>
      <c r="O538" s="16">
        <f t="shared" si="1407"/>
        <v>0</v>
      </c>
      <c r="P538" s="16">
        <f t="shared" si="1408"/>
        <v>-5</v>
      </c>
      <c r="Q538" s="16">
        <f t="shared" ref="Q538:Q546" si="1451">IF(($Q$7&lt;&gt;0),$Q$7*-10,10)</f>
        <v>-10</v>
      </c>
      <c r="R538" s="14"/>
      <c r="S538" s="15">
        <f t="shared" ref="S538" si="1452">R538*10</f>
        <v>0</v>
      </c>
      <c r="T538" s="14"/>
      <c r="U538" s="15">
        <f t="shared" ref="U538" si="1453">T538*-15</f>
        <v>0</v>
      </c>
      <c r="V538" s="16">
        <f t="shared" ref="V538" si="1454">IF(AND(R538=2),10,IF(R538=3,30,IF(R538=4,50,IF(R538=5,70,0))))</f>
        <v>0</v>
      </c>
      <c r="W538" s="17">
        <f t="shared" ref="W538" si="1455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7</v>
      </c>
      <c r="D539" s="21" t="str">
        <f>Spieltag!B527</f>
        <v>Braydon Manu (A)</v>
      </c>
      <c r="E539" s="12" t="str">
        <f>Spieltag!C527</f>
        <v>Mittelfeld</v>
      </c>
      <c r="F539" s="13" t="s">
        <v>660</v>
      </c>
      <c r="G539" s="14"/>
      <c r="H539" s="15">
        <f t="shared" ref="H539:H546" si="1456">IF(G539="x",10,0)</f>
        <v>0</v>
      </c>
      <c r="I539" s="14"/>
      <c r="J539" s="15">
        <f t="shared" ref="J539:J546" si="1457">IF((I539="x"),-10,0)</f>
        <v>0</v>
      </c>
      <c r="K539" s="14"/>
      <c r="L539" s="15">
        <f t="shared" ref="L539:L546" si="1458">IF((K539="x"),-20,0)</f>
        <v>0</v>
      </c>
      <c r="M539" s="14"/>
      <c r="N539" s="15">
        <f t="shared" ref="N539:N546" si="1459">IF((M539="x"),-30,0)</f>
        <v>0</v>
      </c>
      <c r="O539" s="16">
        <f t="shared" si="1407"/>
        <v>0</v>
      </c>
      <c r="P539" s="16">
        <f t="shared" si="1408"/>
        <v>-5</v>
      </c>
      <c r="Q539" s="16">
        <f t="shared" si="1451"/>
        <v>-10</v>
      </c>
      <c r="R539" s="14"/>
      <c r="S539" s="15">
        <f t="shared" ref="S539:S546" si="1460">R539*10</f>
        <v>0</v>
      </c>
      <c r="T539" s="14"/>
      <c r="U539" s="15">
        <f t="shared" ref="U539:U546" si="1461">T539*-15</f>
        <v>0</v>
      </c>
      <c r="V539" s="16">
        <f t="shared" ref="V539:V546" si="1462">IF(AND(R539=2),10,IF(R539=3,30,IF(R539=4,50,IF(R539=5,70,0))))</f>
        <v>0</v>
      </c>
      <c r="W539" s="17">
        <f t="shared" ref="W539:W546" si="1463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8</v>
      </c>
      <c r="D540" s="21" t="str">
        <f>Spieltag!B528</f>
        <v>Fabian Schnellhardt</v>
      </c>
      <c r="E540" s="12" t="str">
        <f>Spieltag!C528</f>
        <v>Mittelfeld</v>
      </c>
      <c r="F540" s="13" t="s">
        <v>660</v>
      </c>
      <c r="G540" s="14"/>
      <c r="H540" s="15">
        <f t="shared" si="1456"/>
        <v>0</v>
      </c>
      <c r="I540" s="14"/>
      <c r="J540" s="15">
        <f t="shared" si="1457"/>
        <v>0</v>
      </c>
      <c r="K540" s="14"/>
      <c r="L540" s="15">
        <f t="shared" si="1458"/>
        <v>0</v>
      </c>
      <c r="M540" s="14"/>
      <c r="N540" s="15">
        <f t="shared" si="1459"/>
        <v>0</v>
      </c>
      <c r="O540" s="16">
        <f t="shared" si="1407"/>
        <v>0</v>
      </c>
      <c r="P540" s="16">
        <f t="shared" si="1408"/>
        <v>-5</v>
      </c>
      <c r="Q540" s="16">
        <f t="shared" si="1451"/>
        <v>-10</v>
      </c>
      <c r="R540" s="14"/>
      <c r="S540" s="15">
        <f t="shared" si="1460"/>
        <v>0</v>
      </c>
      <c r="T540" s="14"/>
      <c r="U540" s="15">
        <f t="shared" si="1461"/>
        <v>0</v>
      </c>
      <c r="V540" s="16">
        <f t="shared" si="1462"/>
        <v>0</v>
      </c>
      <c r="W540" s="17">
        <f t="shared" si="1463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11</v>
      </c>
      <c r="D541" s="21" t="str">
        <f>Spieltag!B529</f>
        <v>Tobias Kempe</v>
      </c>
      <c r="E541" s="12" t="str">
        <f>Spieltag!C529</f>
        <v>Mittelfeld</v>
      </c>
      <c r="F541" s="13" t="s">
        <v>660</v>
      </c>
      <c r="G541" s="14"/>
      <c r="H541" s="15">
        <f t="shared" si="1456"/>
        <v>0</v>
      </c>
      <c r="I541" s="14"/>
      <c r="J541" s="15">
        <f t="shared" si="1457"/>
        <v>0</v>
      </c>
      <c r="K541" s="14"/>
      <c r="L541" s="15">
        <f t="shared" si="1458"/>
        <v>0</v>
      </c>
      <c r="M541" s="14"/>
      <c r="N541" s="15">
        <f t="shared" si="1459"/>
        <v>0</v>
      </c>
      <c r="O541" s="16">
        <f t="shared" si="1407"/>
        <v>0</v>
      </c>
      <c r="P541" s="16">
        <f t="shared" si="1408"/>
        <v>-5</v>
      </c>
      <c r="Q541" s="16">
        <f t="shared" si="1451"/>
        <v>-10</v>
      </c>
      <c r="R541" s="14"/>
      <c r="S541" s="15">
        <f t="shared" si="1460"/>
        <v>0</v>
      </c>
      <c r="T541" s="14"/>
      <c r="U541" s="15">
        <f t="shared" si="1461"/>
        <v>0</v>
      </c>
      <c r="V541" s="16">
        <f t="shared" si="1462"/>
        <v>0</v>
      </c>
      <c r="W541" s="17">
        <f t="shared" si="1463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15</v>
      </c>
      <c r="D542" s="21" t="str">
        <f>Spieltag!B530</f>
        <v>Fabian Nürnberger</v>
      </c>
      <c r="E542" s="12" t="str">
        <f>Spieltag!C530</f>
        <v>Mittelfeld</v>
      </c>
      <c r="F542" s="13" t="s">
        <v>660</v>
      </c>
      <c r="G542" s="14"/>
      <c r="H542" s="15">
        <f t="shared" si="1456"/>
        <v>0</v>
      </c>
      <c r="I542" s="14"/>
      <c r="J542" s="15">
        <f t="shared" si="1457"/>
        <v>0</v>
      </c>
      <c r="K542" s="14"/>
      <c r="L542" s="15">
        <f t="shared" si="1458"/>
        <v>0</v>
      </c>
      <c r="M542" s="14"/>
      <c r="N542" s="15">
        <f t="shared" si="1459"/>
        <v>0</v>
      </c>
      <c r="O542" s="16">
        <f t="shared" si="1407"/>
        <v>0</v>
      </c>
      <c r="P542" s="16">
        <f t="shared" si="1408"/>
        <v>-5</v>
      </c>
      <c r="Q542" s="16">
        <f t="shared" si="1451"/>
        <v>-10</v>
      </c>
      <c r="R542" s="14"/>
      <c r="S542" s="15">
        <f t="shared" si="1460"/>
        <v>0</v>
      </c>
      <c r="T542" s="14"/>
      <c r="U542" s="15">
        <f t="shared" si="1461"/>
        <v>0</v>
      </c>
      <c r="V542" s="16">
        <f t="shared" si="1462"/>
        <v>0</v>
      </c>
      <c r="W542" s="17">
        <f t="shared" si="1463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16</v>
      </c>
      <c r="D543" s="21" t="str">
        <f>Spieltag!B531</f>
        <v>Andreas Müller</v>
      </c>
      <c r="E543" s="12" t="str">
        <f>Spieltag!C531</f>
        <v>Mittelfeld</v>
      </c>
      <c r="F543" s="13" t="s">
        <v>660</v>
      </c>
      <c r="G543" s="14"/>
      <c r="H543" s="15">
        <f t="shared" si="1456"/>
        <v>0</v>
      </c>
      <c r="I543" s="14"/>
      <c r="J543" s="15">
        <f t="shared" si="1457"/>
        <v>0</v>
      </c>
      <c r="K543" s="14"/>
      <c r="L543" s="15">
        <f t="shared" si="1458"/>
        <v>0</v>
      </c>
      <c r="M543" s="14"/>
      <c r="N543" s="15">
        <f t="shared" si="1459"/>
        <v>0</v>
      </c>
      <c r="O543" s="16">
        <f t="shared" si="1407"/>
        <v>0</v>
      </c>
      <c r="P543" s="16">
        <f t="shared" si="1408"/>
        <v>-5</v>
      </c>
      <c r="Q543" s="16">
        <f t="shared" si="1451"/>
        <v>-10</v>
      </c>
      <c r="R543" s="14"/>
      <c r="S543" s="15">
        <f t="shared" si="1460"/>
        <v>0</v>
      </c>
      <c r="T543" s="14"/>
      <c r="U543" s="15">
        <f t="shared" si="1461"/>
        <v>0</v>
      </c>
      <c r="V543" s="16">
        <f t="shared" si="1462"/>
        <v>0</v>
      </c>
      <c r="W543" s="17">
        <f t="shared" si="1463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18</v>
      </c>
      <c r="D544" s="21" t="str">
        <f>Spieltag!B532</f>
        <v>Mathias Honsak (A)</v>
      </c>
      <c r="E544" s="12" t="str">
        <f>Spieltag!C532</f>
        <v>Mittelfeld</v>
      </c>
      <c r="F544" s="13" t="s">
        <v>660</v>
      </c>
      <c r="G544" s="14"/>
      <c r="H544" s="15">
        <f t="shared" si="1456"/>
        <v>0</v>
      </c>
      <c r="I544" s="14"/>
      <c r="J544" s="15">
        <f t="shared" si="1457"/>
        <v>0</v>
      </c>
      <c r="K544" s="14"/>
      <c r="L544" s="15">
        <f t="shared" si="1458"/>
        <v>0</v>
      </c>
      <c r="M544" s="14"/>
      <c r="N544" s="15">
        <f t="shared" si="1459"/>
        <v>0</v>
      </c>
      <c r="O544" s="16">
        <f t="shared" si="1407"/>
        <v>0</v>
      </c>
      <c r="P544" s="16">
        <f t="shared" si="1408"/>
        <v>-5</v>
      </c>
      <c r="Q544" s="16">
        <f t="shared" si="1451"/>
        <v>-10</v>
      </c>
      <c r="R544" s="14"/>
      <c r="S544" s="15">
        <f t="shared" si="1460"/>
        <v>0</v>
      </c>
      <c r="T544" s="14"/>
      <c r="U544" s="15">
        <f t="shared" si="1461"/>
        <v>0</v>
      </c>
      <c r="V544" s="16">
        <f t="shared" si="1462"/>
        <v>0</v>
      </c>
      <c r="W544" s="17">
        <f t="shared" si="1463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23</v>
      </c>
      <c r="D545" s="21" t="str">
        <f>Spieltag!B533</f>
        <v>Klaus Gjasula (A)</v>
      </c>
      <c r="E545" s="12" t="str">
        <f>Spieltag!C533</f>
        <v>Mittelfeld</v>
      </c>
      <c r="F545" s="13" t="s">
        <v>660</v>
      </c>
      <c r="G545" s="14"/>
      <c r="H545" s="15">
        <f t="shared" ref="H545" si="1464">IF(G545="x",10,0)</f>
        <v>0</v>
      </c>
      <c r="I545" s="14"/>
      <c r="J545" s="15">
        <f t="shared" ref="J545" si="1465">IF((I545="x"),-10,0)</f>
        <v>0</v>
      </c>
      <c r="K545" s="14"/>
      <c r="L545" s="15">
        <f t="shared" ref="L545" si="1466">IF((K545="x"),-20,0)</f>
        <v>0</v>
      </c>
      <c r="M545" s="14"/>
      <c r="N545" s="15">
        <f t="shared" ref="N545" si="1467">IF((M545="x"),-30,0)</f>
        <v>0</v>
      </c>
      <c r="O545" s="16">
        <f t="shared" si="1407"/>
        <v>0</v>
      </c>
      <c r="P545" s="16">
        <f t="shared" si="1408"/>
        <v>-5</v>
      </c>
      <c r="Q545" s="16">
        <f t="shared" si="1451"/>
        <v>-10</v>
      </c>
      <c r="R545" s="14"/>
      <c r="S545" s="15">
        <f t="shared" ref="S545" si="1468">R545*10</f>
        <v>0</v>
      </c>
      <c r="T545" s="14"/>
      <c r="U545" s="15">
        <f t="shared" ref="U545" si="1469">T545*-15</f>
        <v>0</v>
      </c>
      <c r="V545" s="16">
        <f t="shared" ref="V545" si="1470">IF(AND(R545=2),10,IF(R545=3,30,IF(R545=4,50,IF(R545=5,70,0))))</f>
        <v>0</v>
      </c>
      <c r="W545" s="17">
        <f t="shared" ref="W545" si="1471">IF(G545="x",H545+J545+L545+N545+O545+P545+Q545+S545+U545+V545,0)</f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28</v>
      </c>
      <c r="D546" s="21" t="str">
        <f>Spieltag!B534</f>
        <v>Bartol Franjic (A)</v>
      </c>
      <c r="E546" s="12" t="str">
        <f>Spieltag!C534</f>
        <v>Mittelfeld</v>
      </c>
      <c r="F546" s="13" t="s">
        <v>660</v>
      </c>
      <c r="G546" s="14"/>
      <c r="H546" s="15">
        <f t="shared" si="1456"/>
        <v>0</v>
      </c>
      <c r="I546" s="14"/>
      <c r="J546" s="15">
        <f t="shared" si="1457"/>
        <v>0</v>
      </c>
      <c r="K546" s="14"/>
      <c r="L546" s="15">
        <f t="shared" si="1458"/>
        <v>0</v>
      </c>
      <c r="M546" s="14"/>
      <c r="N546" s="15">
        <f t="shared" si="1459"/>
        <v>0</v>
      </c>
      <c r="O546" s="16">
        <f t="shared" si="1407"/>
        <v>0</v>
      </c>
      <c r="P546" s="16">
        <f t="shared" si="1408"/>
        <v>-5</v>
      </c>
      <c r="Q546" s="16">
        <f t="shared" si="1451"/>
        <v>-10</v>
      </c>
      <c r="R546" s="14"/>
      <c r="S546" s="15">
        <f t="shared" si="1460"/>
        <v>0</v>
      </c>
      <c r="T546" s="14"/>
      <c r="U546" s="15">
        <f t="shared" si="1461"/>
        <v>0</v>
      </c>
      <c r="V546" s="16">
        <f t="shared" si="1462"/>
        <v>0</v>
      </c>
      <c r="W546" s="17">
        <f t="shared" si="1463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9</v>
      </c>
      <c r="D547" s="21" t="str">
        <f>Spieltag!B535</f>
        <v>Fraser Hornby (A)</v>
      </c>
      <c r="E547" s="12" t="str">
        <f>Spieltag!C535</f>
        <v>Sturm</v>
      </c>
      <c r="F547" s="13" t="s">
        <v>660</v>
      </c>
      <c r="G547" s="14"/>
      <c r="H547" s="15">
        <f t="shared" ref="H547:H549" si="1472">IF(G547="x",10,0)</f>
        <v>0</v>
      </c>
      <c r="I547" s="14"/>
      <c r="J547" s="15">
        <f t="shared" ref="J547:J549" si="1473">IF((I547="x"),-10,0)</f>
        <v>0</v>
      </c>
      <c r="K547" s="14"/>
      <c r="L547" s="15">
        <f t="shared" ref="L547:L549" si="1474">IF((K547="x"),-20,0)</f>
        <v>0</v>
      </c>
      <c r="M547" s="14"/>
      <c r="N547" s="15">
        <f t="shared" ref="N547:N549" si="1475">IF((M547="x"),-30,0)</f>
        <v>0</v>
      </c>
      <c r="O547" s="16">
        <f t="shared" ref="O547:O553" si="1476">IF(AND($P$7&gt;$Q$7),20,IF($P$7=$Q$7,10,0))</f>
        <v>0</v>
      </c>
      <c r="P547" s="16">
        <f t="shared" ref="P547:P553" si="1477">IF(($P$7&lt;&gt;0),$P$7*10,-5)</f>
        <v>-5</v>
      </c>
      <c r="Q547" s="16">
        <f t="shared" ref="Q547:Q553" si="1478">IF(($Q$7&lt;&gt;0),$Q$7*-10,5)</f>
        <v>-10</v>
      </c>
      <c r="R547" s="14"/>
      <c r="S547" s="15">
        <f t="shared" ref="S547:S549" si="1479">R547*10</f>
        <v>0</v>
      </c>
      <c r="T547" s="14"/>
      <c r="U547" s="15">
        <f t="shared" ref="U547:U549" si="1480">T547*-15</f>
        <v>0</v>
      </c>
      <c r="V547" s="16">
        <f t="shared" ref="V547:V549" si="1481">IF(AND(R547=2),10,IF(R547=3,30,IF(R547=4,50,IF(R547=5,70,0))))</f>
        <v>0</v>
      </c>
      <c r="W547" s="17">
        <f t="shared" ref="W547:W549" si="1482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10</v>
      </c>
      <c r="D548" s="21" t="str">
        <f>Spieltag!B536</f>
        <v>Filip Stojilkovic (A)</v>
      </c>
      <c r="E548" s="12" t="str">
        <f>Spieltag!C536</f>
        <v>Sturm</v>
      </c>
      <c r="F548" s="13" t="s">
        <v>660</v>
      </c>
      <c r="G548" s="14"/>
      <c r="H548" s="15">
        <f>IF(G548="x",10,0)</f>
        <v>0</v>
      </c>
      <c r="I548" s="14"/>
      <c r="J548" s="15">
        <f>IF((I548="x"),-10,0)</f>
        <v>0</v>
      </c>
      <c r="K548" s="14"/>
      <c r="L548" s="15">
        <f>IF((K548="x"),-20,0)</f>
        <v>0</v>
      </c>
      <c r="M548" s="14"/>
      <c r="N548" s="15">
        <f>IF((M548="x"),-30,0)</f>
        <v>0</v>
      </c>
      <c r="O548" s="16">
        <f t="shared" si="1476"/>
        <v>0</v>
      </c>
      <c r="P548" s="16">
        <f t="shared" si="1477"/>
        <v>-5</v>
      </c>
      <c r="Q548" s="16">
        <f t="shared" si="1478"/>
        <v>-10</v>
      </c>
      <c r="R548" s="14"/>
      <c r="S548" s="15">
        <f>R548*10</f>
        <v>0</v>
      </c>
      <c r="T548" s="14"/>
      <c r="U548" s="15">
        <f>T548*-15</f>
        <v>0</v>
      </c>
      <c r="V548" s="16">
        <f>IF(AND(R548=2),10,IF(R548=3,30,IF(R548=4,50,IF(R548=5,70,0))))</f>
        <v>0</v>
      </c>
      <c r="W548" s="17">
        <f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22</v>
      </c>
      <c r="D549" s="21" t="str">
        <f>Spieltag!B537</f>
        <v>Aaron Seydel</v>
      </c>
      <c r="E549" s="12" t="str">
        <f>Spieltag!C537</f>
        <v>Sturm</v>
      </c>
      <c r="F549" s="13" t="s">
        <v>660</v>
      </c>
      <c r="G549" s="14"/>
      <c r="H549" s="15">
        <f t="shared" si="1472"/>
        <v>0</v>
      </c>
      <c r="I549" s="14"/>
      <c r="J549" s="15">
        <f t="shared" si="1473"/>
        <v>0</v>
      </c>
      <c r="K549" s="14"/>
      <c r="L549" s="15">
        <f t="shared" si="1474"/>
        <v>0</v>
      </c>
      <c r="M549" s="14"/>
      <c r="N549" s="15">
        <f t="shared" si="1475"/>
        <v>0</v>
      </c>
      <c r="O549" s="16">
        <f t="shared" si="1476"/>
        <v>0</v>
      </c>
      <c r="P549" s="16">
        <f t="shared" si="1477"/>
        <v>-5</v>
      </c>
      <c r="Q549" s="16">
        <f t="shared" si="1478"/>
        <v>-10</v>
      </c>
      <c r="R549" s="14"/>
      <c r="S549" s="15">
        <f t="shared" si="1479"/>
        <v>0</v>
      </c>
      <c r="T549" s="14"/>
      <c r="U549" s="15">
        <f t="shared" si="1480"/>
        <v>0</v>
      </c>
      <c r="V549" s="16">
        <f t="shared" si="1481"/>
        <v>0</v>
      </c>
      <c r="W549" s="17">
        <f t="shared" si="1482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24</v>
      </c>
      <c r="D550" s="21" t="str">
        <f>Spieltag!B538</f>
        <v>Luca Pfeiffer</v>
      </c>
      <c r="E550" s="12" t="str">
        <f>Spieltag!C538</f>
        <v>Sturm</v>
      </c>
      <c r="F550" s="13" t="s">
        <v>660</v>
      </c>
      <c r="G550" s="14"/>
      <c r="H550" s="15">
        <f t="shared" ref="H550:H552" si="1483">IF(G550="x",10,0)</f>
        <v>0</v>
      </c>
      <c r="I550" s="14"/>
      <c r="J550" s="15">
        <f t="shared" ref="J550:J552" si="1484">IF((I550="x"),-10,0)</f>
        <v>0</v>
      </c>
      <c r="K550" s="14"/>
      <c r="L550" s="15">
        <f t="shared" ref="L550:L552" si="1485">IF((K550="x"),-20,0)</f>
        <v>0</v>
      </c>
      <c r="M550" s="14"/>
      <c r="N550" s="15">
        <f t="shared" ref="N550:N552" si="1486">IF((M550="x"),-30,0)</f>
        <v>0</v>
      </c>
      <c r="O550" s="16">
        <f t="shared" si="1476"/>
        <v>0</v>
      </c>
      <c r="P550" s="16">
        <f t="shared" si="1477"/>
        <v>-5</v>
      </c>
      <c r="Q550" s="16">
        <f t="shared" si="1478"/>
        <v>-10</v>
      </c>
      <c r="R550" s="14"/>
      <c r="S550" s="15">
        <f t="shared" ref="S550:S552" si="1487">R550*10</f>
        <v>0</v>
      </c>
      <c r="T550" s="14"/>
      <c r="U550" s="15">
        <f t="shared" ref="U550:U552" si="1488">T550*-15</f>
        <v>0</v>
      </c>
      <c r="V550" s="16">
        <f t="shared" ref="V550:V552" si="1489">IF(AND(R550=2),10,IF(R550=3,30,IF(R550=4,50,IF(R550=5,70,0))))</f>
        <v>0</v>
      </c>
      <c r="W550" s="17">
        <f t="shared" ref="W550:W552" si="149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27</v>
      </c>
      <c r="D551" s="21" t="str">
        <f>Spieltag!B539</f>
        <v>Tim Skarke</v>
      </c>
      <c r="E551" s="12" t="str">
        <f>Spieltag!C539</f>
        <v>Sturm</v>
      </c>
      <c r="F551" s="13" t="s">
        <v>660</v>
      </c>
      <c r="G551" s="14"/>
      <c r="H551" s="15">
        <f>IF(G551="x",10,0)</f>
        <v>0</v>
      </c>
      <c r="I551" s="14"/>
      <c r="J551" s="15">
        <f>IF((I551="x"),-10,0)</f>
        <v>0</v>
      </c>
      <c r="K551" s="14"/>
      <c r="L551" s="15">
        <f>IF((K551="x"),-20,0)</f>
        <v>0</v>
      </c>
      <c r="M551" s="14"/>
      <c r="N551" s="15">
        <f>IF((M551="x"),-30,0)</f>
        <v>0</v>
      </c>
      <c r="O551" s="16">
        <f t="shared" si="1476"/>
        <v>0</v>
      </c>
      <c r="P551" s="16">
        <f t="shared" si="1477"/>
        <v>-5</v>
      </c>
      <c r="Q551" s="16">
        <f t="shared" si="1478"/>
        <v>-10</v>
      </c>
      <c r="R551" s="14"/>
      <c r="S551" s="15">
        <f>R551*10</f>
        <v>0</v>
      </c>
      <c r="T551" s="14"/>
      <c r="U551" s="15">
        <f>T551*-15</f>
        <v>0</v>
      </c>
      <c r="V551" s="16">
        <f>IF(AND(R551=2),10,IF(R551=3,30,IF(R551=4,50,IF(R551=5,70,0))))</f>
        <v>0</v>
      </c>
      <c r="W551" s="17">
        <f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29</v>
      </c>
      <c r="D552" s="21" t="str">
        <f>Spieltag!B540</f>
        <v>Oscar Vilhelmsson (A)</v>
      </c>
      <c r="E552" s="12" t="str">
        <f>Spieltag!C540</f>
        <v>Sturm</v>
      </c>
      <c r="F552" s="13" t="s">
        <v>660</v>
      </c>
      <c r="G552" s="14"/>
      <c r="H552" s="15">
        <f t="shared" si="1483"/>
        <v>0</v>
      </c>
      <c r="I552" s="14"/>
      <c r="J552" s="15">
        <f t="shared" si="1484"/>
        <v>0</v>
      </c>
      <c r="K552" s="14"/>
      <c r="L552" s="15">
        <f t="shared" si="1485"/>
        <v>0</v>
      </c>
      <c r="M552" s="14"/>
      <c r="N552" s="15">
        <f t="shared" si="1486"/>
        <v>0</v>
      </c>
      <c r="O552" s="16">
        <f t="shared" si="1476"/>
        <v>0</v>
      </c>
      <c r="P552" s="16">
        <f t="shared" si="1477"/>
        <v>-5</v>
      </c>
      <c r="Q552" s="16">
        <f t="shared" si="1478"/>
        <v>-10</v>
      </c>
      <c r="R552" s="14"/>
      <c r="S552" s="15">
        <f t="shared" si="1487"/>
        <v>0</v>
      </c>
      <c r="T552" s="14"/>
      <c r="U552" s="15">
        <f t="shared" si="1488"/>
        <v>0</v>
      </c>
      <c r="V552" s="16">
        <f t="shared" si="1489"/>
        <v>0</v>
      </c>
      <c r="W552" s="17">
        <f t="shared" si="1490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42</v>
      </c>
      <c r="D553" s="21" t="str">
        <f>Spieltag!B541</f>
        <v>Fabio Torsiello</v>
      </c>
      <c r="E553" s="12" t="str">
        <f>Spieltag!C541</f>
        <v>Sturm</v>
      </c>
      <c r="F553" s="13" t="s">
        <v>660</v>
      </c>
      <c r="G553" s="14"/>
      <c r="H553" s="15">
        <f t="shared" ref="H553" si="1491">IF(G553="x",10,0)</f>
        <v>0</v>
      </c>
      <c r="I553" s="14"/>
      <c r="J553" s="15">
        <f t="shared" ref="J553" si="1492">IF((I553="x"),-10,0)</f>
        <v>0</v>
      </c>
      <c r="K553" s="14"/>
      <c r="L553" s="15">
        <f t="shared" ref="L553" si="1493">IF((K553="x"),-20,0)</f>
        <v>0</v>
      </c>
      <c r="M553" s="14"/>
      <c r="N553" s="15">
        <f t="shared" ref="N553" si="1494">IF((M553="x"),-30,0)</f>
        <v>0</v>
      </c>
      <c r="O553" s="16">
        <f t="shared" si="1476"/>
        <v>0</v>
      </c>
      <c r="P553" s="16">
        <f t="shared" si="1477"/>
        <v>-5</v>
      </c>
      <c r="Q553" s="16">
        <f t="shared" si="1478"/>
        <v>-10</v>
      </c>
      <c r="R553" s="14"/>
      <c r="S553" s="15">
        <f t="shared" ref="S553" si="1495">R553*10</f>
        <v>0</v>
      </c>
      <c r="T553" s="14"/>
      <c r="U553" s="15">
        <f t="shared" ref="U553" si="1496">T553*-15</f>
        <v>0</v>
      </c>
      <c r="V553" s="16">
        <f t="shared" ref="V553" si="1497">IF(AND(R553=2),10,IF(R553=3,30,IF(R553=4,50,IF(R553=5,70,0))))</f>
        <v>0</v>
      </c>
      <c r="W553" s="17">
        <f t="shared" ref="W553" si="1498">IF(G553="x",H553+J553+L553+N553+O553+P553+Q553+S553+U553+V553,0)</f>
        <v>0</v>
      </c>
    </row>
    <row r="554" spans="1:23" ht="10.5" hidden="1" customHeight="1" x14ac:dyDescent="0.2"/>
    <row r="555" spans="1:23" ht="10.5" hidden="1" customHeight="1" x14ac:dyDescent="0.2"/>
    <row r="556" spans="1:23" ht="10.5" hidden="1" customHeight="1" x14ac:dyDescent="0.2"/>
    <row r="557" spans="1:23" ht="10.5" hidden="1" customHeight="1" x14ac:dyDescent="0.2"/>
    <row r="558" spans="1:23" ht="10.5" hidden="1" customHeight="1" x14ac:dyDescent="0.2"/>
    <row r="559" spans="1:23" ht="10.5" hidden="1" customHeight="1" x14ac:dyDescent="0.2"/>
    <row r="560" spans="1:23" ht="10.5" hidden="1" customHeight="1" x14ac:dyDescent="0.2"/>
    <row r="561" ht="10.5" hidden="1" customHeight="1" x14ac:dyDescent="0.2"/>
    <row r="562" ht="10.5" hidden="1" customHeight="1" x14ac:dyDescent="0.2"/>
    <row r="563" ht="10.5" hidden="1" customHeight="1" x14ac:dyDescent="0.2"/>
    <row r="564" ht="10.5" hidden="1" customHeight="1" x14ac:dyDescent="0.2"/>
    <row r="565" ht="10.5" hidden="1" customHeight="1" x14ac:dyDescent="0.2"/>
    <row r="566" ht="10.5" hidden="1" customHeight="1" x14ac:dyDescent="0.2"/>
    <row r="567" ht="10.5" hidden="1" customHeight="1" x14ac:dyDescent="0.2"/>
    <row r="568" ht="10.5" hidden="1" customHeight="1" x14ac:dyDescent="0.2"/>
    <row r="569" ht="10.5" hidden="1" customHeight="1" x14ac:dyDescent="0.2"/>
    <row r="570" ht="10.5" hidden="1" customHeight="1" x14ac:dyDescent="0.2"/>
    <row r="571" ht="10.5" hidden="1" customHeight="1" x14ac:dyDescent="0.2"/>
    <row r="572" ht="10.5" hidden="1" customHeight="1" x14ac:dyDescent="0.2"/>
    <row r="573" ht="10.5" hidden="1" customHeight="1" x14ac:dyDescent="0.2"/>
    <row r="574" ht="10.5" hidden="1" customHeight="1" x14ac:dyDescent="0.2"/>
    <row r="575" ht="10.5" hidden="1" customHeight="1" x14ac:dyDescent="0.2"/>
    <row r="576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s="147" customFormat="1" ht="10.5" hidden="1" customHeight="1" x14ac:dyDescent="0.2">
      <c r="A695" s="145"/>
      <c r="B695" s="145"/>
      <c r="C695" s="145"/>
      <c r="D695" s="146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</row>
    <row r="696" spans="1:22" s="147" customFormat="1" ht="10.5" hidden="1" customHeight="1" x14ac:dyDescent="0.2">
      <c r="A696" s="145"/>
      <c r="B696" s="145"/>
      <c r="C696" s="145"/>
      <c r="D696" s="146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</row>
    <row r="697" spans="1:22" s="147" customFormat="1" ht="10.5" hidden="1" customHeight="1" x14ac:dyDescent="0.2">
      <c r="A697" s="145"/>
      <c r="B697" s="145"/>
      <c r="C697" s="145"/>
      <c r="D697" s="146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</row>
    <row r="698" spans="1:22" s="147" customFormat="1" ht="10.5" hidden="1" customHeight="1" x14ac:dyDescent="0.2">
      <c r="A698" s="145"/>
      <c r="B698" s="145"/>
      <c r="C698" s="145"/>
      <c r="D698" s="146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</row>
    <row r="699" spans="1:22" s="147" customFormat="1" ht="10.5" hidden="1" customHeight="1" x14ac:dyDescent="0.2">
      <c r="A699" s="145"/>
      <c r="B699" s="145"/>
      <c r="C699" s="145"/>
      <c r="D699" s="146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</row>
    <row r="700" spans="1:22" s="147" customFormat="1" ht="10.5" hidden="1" customHeight="1" x14ac:dyDescent="0.2">
      <c r="A700" s="145"/>
      <c r="B700" s="145"/>
      <c r="C700" s="145"/>
      <c r="D700" s="146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</row>
    <row r="701" spans="1:22" s="147" customFormat="1" ht="10.5" hidden="1" customHeight="1" x14ac:dyDescent="0.2">
      <c r="A701" s="145"/>
      <c r="B701" s="145"/>
      <c r="C701" s="145"/>
      <c r="D701" s="146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</row>
    <row r="702" spans="1:22" s="147" customFormat="1" ht="10.5" hidden="1" customHeight="1" x14ac:dyDescent="0.2">
      <c r="A702" s="145"/>
      <c r="B702" s="145"/>
      <c r="C702" s="145"/>
      <c r="D702" s="146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</row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</sheetData>
  <autoFilter ref="A1:A2" xr:uid="{00000000-0009-0000-0000-000002000000}"/>
  <mergeCells count="47">
    <mergeCell ref="D523:W523"/>
    <mergeCell ref="D225:W225"/>
    <mergeCell ref="D314:W314"/>
    <mergeCell ref="D100:W100"/>
    <mergeCell ref="D254:W254"/>
    <mergeCell ref="D187:W187"/>
    <mergeCell ref="D431:W431"/>
    <mergeCell ref="D494:W494"/>
    <mergeCell ref="D129:W129"/>
    <mergeCell ref="D346:W346"/>
    <mergeCell ref="D282:W282"/>
    <mergeCell ref="D73:W73"/>
    <mergeCell ref="D41:W41"/>
    <mergeCell ref="D377:W377"/>
    <mergeCell ref="D158:W158"/>
    <mergeCell ref="D464:W464"/>
    <mergeCell ref="D402:W402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M5" sqref="M5:M15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4</v>
      </c>
      <c r="E3" s="32" t="s">
        <v>6</v>
      </c>
      <c r="F3" s="29"/>
      <c r="G3" s="30" t="s">
        <v>92</v>
      </c>
      <c r="H3" s="31">
        <f>'[2]Bax de Luxe'!$B$3</f>
        <v>13</v>
      </c>
      <c r="I3" s="32" t="s">
        <v>6</v>
      </c>
      <c r="J3" s="29"/>
      <c r="K3" s="30" t="s">
        <v>92</v>
      </c>
      <c r="L3" s="31">
        <f>[2]Nobody!$B$3</f>
        <v>3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VLOOKUP(B5,Spieltag!$K$2:$AB$1562,18,0)</f>
        <v>Oliver Baumann</v>
      </c>
      <c r="D5" s="115" t="str">
        <f>VLOOKUP(C5,Auswertung!$D$15:$F$1452,3,0)</f>
        <v>Hoffenheim</v>
      </c>
      <c r="E5" s="116">
        <f>VLOOKUP(C5,Auswertung!$D$15:$W$1452,20,0)</f>
        <v>0</v>
      </c>
      <c r="F5" s="39">
        <v>1</v>
      </c>
      <c r="G5" s="114" t="str">
        <f>VLOOKUP(F5,Spieltag!$L$2:$AB$1562,17,0)</f>
        <v>Manuel Neuer</v>
      </c>
      <c r="H5" s="115" t="str">
        <f>VLOOKUP(G5,Auswertung!$D$15:$F$1452,3,0)</f>
        <v>München</v>
      </c>
      <c r="I5" s="116">
        <f>VLOOKUP(G5,Auswertung!$D$15:$W$1452,20,0)</f>
        <v>60</v>
      </c>
      <c r="J5" s="39">
        <v>1</v>
      </c>
      <c r="K5" s="114" t="str">
        <f>VLOOKUP(J5,Spieltag!$M$2:$AB$1562,16,0)</f>
        <v>Manuel Neuer</v>
      </c>
      <c r="L5" s="115" t="str">
        <f>VLOOKUP(K5,Auswertung!$D$15:$F$1452,3,0)</f>
        <v>München</v>
      </c>
      <c r="M5" s="116">
        <f>VLOOKUP(K5,Auswertung!$D$15:$W$1452,20,0)</f>
        <v>60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VLOOKUP(B6,Spieltag!$K$2:$AB$1562,18,0)</f>
        <v>Jonathan Tah</v>
      </c>
      <c r="D6" s="118" t="str">
        <f>VLOOKUP(C6,Auswertung!$D$15:$F$1452,3,0)</f>
        <v>Leverkusen</v>
      </c>
      <c r="E6" s="119">
        <f>VLOOKUP(C6,Auswertung!$D$15:$W$1452,20,0)</f>
        <v>20</v>
      </c>
      <c r="F6" s="39">
        <v>2</v>
      </c>
      <c r="G6" s="117" t="str">
        <f>VLOOKUP(F6,Spieltag!$L$2:$AB$1562,17,0)</f>
        <v>Min-Jae Kim (A)</v>
      </c>
      <c r="H6" s="118" t="str">
        <f>VLOOKUP(G6,Auswertung!$D$15:$F$1452,3,0)</f>
        <v>München</v>
      </c>
      <c r="I6" s="119">
        <f>VLOOKUP(G6,Auswertung!$D$15:$W$1452,20,0)</f>
        <v>0</v>
      </c>
      <c r="J6" s="39">
        <v>2</v>
      </c>
      <c r="K6" s="117" t="str">
        <f>VLOOKUP(J6,Spieltag!$M$2:$AB$1562,16,0)</f>
        <v>Nico Schlotterbeck</v>
      </c>
      <c r="L6" s="118" t="str">
        <f>VLOOKUP(K6,Auswertung!$D$15:$F$1452,3,0)</f>
        <v>Dortmund</v>
      </c>
      <c r="M6" s="119">
        <f>VLOOKUP(K6,Auswertung!$D$15:$W$1452,20,0)</f>
        <v>20</v>
      </c>
    </row>
    <row r="7" spans="1:13" ht="11.25" customHeight="1" x14ac:dyDescent="0.2">
      <c r="A7" s="41"/>
      <c r="B7" s="27">
        <v>3</v>
      </c>
      <c r="C7" s="117" t="str">
        <f>VLOOKUP(B7,Spieltag!$K$2:$AB$1562,18,0)</f>
        <v>Lukas Klostermann</v>
      </c>
      <c r="D7" s="118" t="str">
        <f>VLOOKUP(C7,Auswertung!$D$15:$F$1452,3,0)</f>
        <v>Leipzig</v>
      </c>
      <c r="E7" s="119">
        <f>VLOOKUP(C7,Auswertung!$D$15:$W$1452,20,0)</f>
        <v>40</v>
      </c>
      <c r="F7" s="42">
        <v>3</v>
      </c>
      <c r="G7" s="117" t="str">
        <f>VLOOKUP(F7,Spieltag!$L$2:$AB$1562,17,0)</f>
        <v>Waldemar Anton</v>
      </c>
      <c r="H7" s="118" t="str">
        <f>VLOOKUP(G7,Auswertung!$D$15:$F$1452,3,0)</f>
        <v>Stuttgart</v>
      </c>
      <c r="I7" s="119">
        <f>VLOOKUP(G7,Auswertung!$D$15:$W$1452,20,0)</f>
        <v>65</v>
      </c>
      <c r="J7" s="42">
        <v>3</v>
      </c>
      <c r="K7" s="117" t="str">
        <f>VLOOKUP(J7,Spieltag!$M$2:$AB$1562,16,0)</f>
        <v>David Raum</v>
      </c>
      <c r="L7" s="118" t="str">
        <f>VLOOKUP(K7,Auswertung!$D$15:$F$1452,3,0)</f>
        <v>Leipzig</v>
      </c>
      <c r="M7" s="119">
        <f>VLOOKUP(K7,Auswertung!$D$15:$W$1452,20,0)</f>
        <v>40</v>
      </c>
    </row>
    <row r="8" spans="1:13" ht="11.25" customHeight="1" x14ac:dyDescent="0.2">
      <c r="A8" s="41"/>
      <c r="B8" s="27">
        <v>4</v>
      </c>
      <c r="C8" s="117" t="str">
        <f>VLOOKUP(B8,Spieltag!$K$2:$AB$1562,18,0)</f>
        <v>Mats Hummels</v>
      </c>
      <c r="D8" s="118" t="str">
        <f>VLOOKUP(C8,Auswertung!$D$15:$F$1452,3,0)</f>
        <v>Dortmund</v>
      </c>
      <c r="E8" s="119">
        <f>VLOOKUP(C8,Auswertung!$D$15:$W$1452,20,0)</f>
        <v>20</v>
      </c>
      <c r="F8" s="42">
        <v>4</v>
      </c>
      <c r="G8" s="117" t="str">
        <f>VLOOKUP(F8,Spieltag!$L$2:$AB$1562,17,0)</f>
        <v>Matthias Ginter</v>
      </c>
      <c r="H8" s="118" t="str">
        <f>VLOOKUP(G8,Auswertung!$D$15:$F$1452,3,0)</f>
        <v>Freiburg</v>
      </c>
      <c r="I8" s="119">
        <f>VLOOKUP(G8,Auswertung!$D$15:$W$1452,20,0)</f>
        <v>55</v>
      </c>
      <c r="J8" s="42">
        <v>4</v>
      </c>
      <c r="K8" s="117" t="str">
        <f>VLOOKUP(J8,Spieltag!$M$2:$AB$1562,16,0)</f>
        <v>Jeremie Frimpong (A)</v>
      </c>
      <c r="L8" s="118" t="str">
        <f>VLOOKUP(K8,Auswertung!$D$15:$F$1452,3,0)</f>
        <v>Leverkusen</v>
      </c>
      <c r="M8" s="119">
        <f>VLOOKUP(K8,Auswertung!$D$15:$W$1452,20,0)</f>
        <v>10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VLOOKUP(B9,Spieltag!$K$2:$AB$1562,18,0)</f>
        <v>Chris Führich</v>
      </c>
      <c r="D9" s="121" t="str">
        <f>VLOOKUP(C9,Auswertung!$D$15:$F$1452,3,0)</f>
        <v>Stuttgart</v>
      </c>
      <c r="E9" s="122">
        <f>VLOOKUP(C9,Auswertung!$D$15:$W$1452,20,0)</f>
        <v>60</v>
      </c>
      <c r="F9" s="39">
        <v>5</v>
      </c>
      <c r="G9" s="120" t="str">
        <f>VLOOKUP(F9,Spieltag!$L$2:$AB$1562,17,0)</f>
        <v>Jonas Hofmann</v>
      </c>
      <c r="H9" s="121" t="str">
        <f>VLOOKUP(G9,Auswertung!$D$15:$F$1452,3,0)</f>
        <v>Leverkusen</v>
      </c>
      <c r="I9" s="122">
        <f>VLOOKUP(G9,Auswertung!$D$15:$W$1452,20,0)</f>
        <v>20</v>
      </c>
      <c r="J9" s="39">
        <v>5</v>
      </c>
      <c r="K9" s="120" t="str">
        <f>VLOOKUP(J9,Spieltag!$M$2:$AB$1562,16,0)</f>
        <v>Jonas Hofmann</v>
      </c>
      <c r="L9" s="121" t="str">
        <f>VLOOKUP(K9,Auswertung!$D$15:$F$1452,3,0)</f>
        <v>Leverkusen</v>
      </c>
      <c r="M9" s="122">
        <f>VLOOKUP(K9,Auswertung!$D$15:$W$1452,20,0)</f>
        <v>20</v>
      </c>
    </row>
    <row r="10" spans="1:13" ht="11.25" customHeight="1" x14ac:dyDescent="0.2">
      <c r="A10" s="43"/>
      <c r="B10" s="38">
        <v>6</v>
      </c>
      <c r="C10" s="120" t="str">
        <f>VLOOKUP(B10,Spieltag!$K$2:$AB$1562,18,0)</f>
        <v>Jan Thielmann</v>
      </c>
      <c r="D10" s="121" t="str">
        <f>VLOOKUP(C10,Auswertung!$D$15:$F$1452,3,0)</f>
        <v>Köln</v>
      </c>
      <c r="E10" s="122">
        <f>VLOOKUP(C10,Auswertung!$D$15:$W$1452,20,0)</f>
        <v>50</v>
      </c>
      <c r="F10" s="39">
        <v>6</v>
      </c>
      <c r="G10" s="120" t="str">
        <f>VLOOKUP(F10,Spieltag!$L$2:$AB$1562,17,0)</f>
        <v>Chris Führich</v>
      </c>
      <c r="H10" s="121" t="str">
        <f>VLOOKUP(G10,Auswertung!$D$15:$F$1452,3,0)</f>
        <v>Stuttgart</v>
      </c>
      <c r="I10" s="122">
        <f>VLOOKUP(G10,Auswertung!$D$15:$W$1452,20,0)</f>
        <v>60</v>
      </c>
      <c r="J10" s="39">
        <v>6</v>
      </c>
      <c r="K10" s="120" t="str">
        <f>VLOOKUP(J10,Spieltag!$M$2:$AB$1562,16,0)</f>
        <v>Marco Reus</v>
      </c>
      <c r="L10" s="121" t="str">
        <f>VLOOKUP(K10,Auswertung!$D$15:$F$1452,3,0)</f>
        <v>Dortmund</v>
      </c>
      <c r="M10" s="122">
        <f>VLOOKUP(K10,Auswertung!$D$15:$W$1452,20,0)</f>
        <v>20</v>
      </c>
    </row>
    <row r="11" spans="1:13" ht="11.25" customHeight="1" x14ac:dyDescent="0.2">
      <c r="A11" s="44"/>
      <c r="B11" s="27">
        <v>7</v>
      </c>
      <c r="C11" s="120" t="str">
        <f>VLOOKUP(B11,Spieltag!$K$2:$AB$1562,18,0)</f>
        <v>Jonas Hofmann</v>
      </c>
      <c r="D11" s="121" t="str">
        <f>VLOOKUP(C11,Auswertung!$D$15:$F$1452,3,0)</f>
        <v>Leverkusen</v>
      </c>
      <c r="E11" s="122">
        <f>VLOOKUP(C11,Auswertung!$D$15:$W$1452,20,0)</f>
        <v>20</v>
      </c>
      <c r="F11" s="42">
        <v>7</v>
      </c>
      <c r="G11" s="120" t="str">
        <f>VLOOKUP(F11,Spieltag!$L$2:$AB$1562,17,0)</f>
        <v>Christoph Baumgartner (A)</v>
      </c>
      <c r="H11" s="121" t="str">
        <f>VLOOKUP(G11,Auswertung!$D$15:$F$1452,3,0)</f>
        <v>Leipzig</v>
      </c>
      <c r="I11" s="122">
        <f>VLOOKUP(G11,Auswertung!$D$15:$W$1452,20,0)</f>
        <v>30</v>
      </c>
      <c r="J11" s="42">
        <v>7</v>
      </c>
      <c r="K11" s="120" t="str">
        <f>VLOOKUP(J11,Spieltag!$M$2:$AB$1562,16,0)</f>
        <v>Eric Martel</v>
      </c>
      <c r="L11" s="121" t="str">
        <f>VLOOKUP(K11,Auswertung!$D$15:$F$1452,3,0)</f>
        <v>Köln</v>
      </c>
      <c r="M11" s="122">
        <f>VLOOKUP(K11,Auswertung!$D$15:$W$1452,20,0)</f>
        <v>50</v>
      </c>
    </row>
    <row r="12" spans="1:13" ht="11.25" customHeight="1" x14ac:dyDescent="0.2">
      <c r="A12" s="44"/>
      <c r="B12" s="27">
        <v>8</v>
      </c>
      <c r="C12" s="120" t="str">
        <f>VLOOKUP(B12,Spieltag!$K$2:$AB$1562,18,0)</f>
        <v>Julian Brandt</v>
      </c>
      <c r="D12" s="121" t="str">
        <f>VLOOKUP(C12,Auswertung!$D$15:$F$1452,3,0)</f>
        <v>Dortmund</v>
      </c>
      <c r="E12" s="122">
        <f>VLOOKUP(C12,Auswertung!$D$15:$W$1452,20,0)</f>
        <v>20</v>
      </c>
      <c r="F12" s="42">
        <v>8</v>
      </c>
      <c r="G12" s="120" t="str">
        <f>VLOOKUP(F12,Spieltag!$L$2:$AB$1562,17,0)</f>
        <v>Hugo Larsson (A)</v>
      </c>
      <c r="H12" s="121" t="str">
        <f>VLOOKUP(G12,Auswertung!$D$15:$F$1452,3,0)</f>
        <v>Frankfurt</v>
      </c>
      <c r="I12" s="122">
        <f>VLOOKUP(G12,Auswertung!$D$15:$W$1452,20,0)</f>
        <v>0</v>
      </c>
      <c r="J12" s="42">
        <v>8</v>
      </c>
      <c r="K12" s="120" t="str">
        <f>VLOOKUP(J12,Spieltag!$M$2:$AB$1562,16,0)</f>
        <v>Xavi Simons (A)</v>
      </c>
      <c r="L12" s="121" t="str">
        <f>VLOOKUP(K12,Auswertung!$D$15:$F$1452,3,0)</f>
        <v>Leipzig</v>
      </c>
      <c r="M12" s="122">
        <f>VLOOKUP(K12,Auswertung!$D$15:$W$1452,20,0)</f>
        <v>40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VLOOKUP(B13,Spieltag!$K$2:$AB$1562,18,0)</f>
        <v>Leroy Sané</v>
      </c>
      <c r="D13" s="124" t="str">
        <f>VLOOKUP(C13,Auswertung!$D$15:$F$1452,3,0)</f>
        <v>München</v>
      </c>
      <c r="E13" s="125">
        <f>VLOOKUP(C13,Auswertung!$D$15:$W$1452,20,0)</f>
        <v>45</v>
      </c>
      <c r="F13" s="39">
        <v>9</v>
      </c>
      <c r="G13" s="123" t="str">
        <f>VLOOKUP(F13,Spieltag!$L$2:$AB$1562,17,0)</f>
        <v>Victor Boniface (A)</v>
      </c>
      <c r="H13" s="124" t="str">
        <f>VLOOKUP(G13,Auswertung!$D$15:$F$1452,3,0)</f>
        <v>Leverkusen</v>
      </c>
      <c r="I13" s="125">
        <f>VLOOKUP(G13,Auswertung!$D$15:$W$1452,20,0)</f>
        <v>30</v>
      </c>
      <c r="J13" s="39">
        <v>9</v>
      </c>
      <c r="K13" s="123" t="str">
        <f>VLOOKUP(J13,Spieltag!$M$2:$AB$1562,16,0)</f>
        <v>Andrej Kramarić (A)</v>
      </c>
      <c r="L13" s="124" t="str">
        <f>VLOOKUP(K13,Auswertung!$D$15:$F$1452,3,0)</f>
        <v>Hoffenheim</v>
      </c>
      <c r="M13" s="125">
        <f>VLOOKUP(K13,Auswertung!$D$15:$W$1452,20,0)</f>
        <v>0</v>
      </c>
    </row>
    <row r="14" spans="1:13" ht="11.25" customHeight="1" x14ac:dyDescent="0.2">
      <c r="A14" s="46"/>
      <c r="B14" s="27">
        <v>10</v>
      </c>
      <c r="C14" s="123" t="str">
        <f>VLOOKUP(B14,Spieltag!$K$2:$AB$1562,18,0)</f>
        <v>Harry Kane (A)</v>
      </c>
      <c r="D14" s="124" t="str">
        <f>VLOOKUP(C14,Auswertung!$D$15:$F$1452,3,0)</f>
        <v>München</v>
      </c>
      <c r="E14" s="125">
        <f>VLOOKUP(C14,Auswertung!$D$15:$W$1452,20,0)</f>
        <v>35</v>
      </c>
      <c r="F14" s="42">
        <v>10</v>
      </c>
      <c r="G14" s="123" t="str">
        <f>VLOOKUP(F14,Spieltag!$L$2:$AB$1562,17,0)</f>
        <v>Loїs Openda (A)</v>
      </c>
      <c r="H14" s="124" t="str">
        <f>VLOOKUP(G14,Auswertung!$D$15:$F$1452,3,0)</f>
        <v>Leipzig</v>
      </c>
      <c r="I14" s="125">
        <f>VLOOKUP(G14,Auswertung!$D$15:$W$1452,20,0)</f>
        <v>50</v>
      </c>
      <c r="J14" s="42">
        <v>10</v>
      </c>
      <c r="K14" s="123" t="str">
        <f>VLOOKUP(J14,Spieltag!$M$2:$AB$1562,16,0)</f>
        <v>Serhou Guirassy (A)</v>
      </c>
      <c r="L14" s="124" t="str">
        <f>VLOOKUP(K14,Auswertung!$D$15:$F$1452,3,0)</f>
        <v>Stuttgart</v>
      </c>
      <c r="M14" s="125">
        <f>VLOOKUP(K14,Auswertung!$D$15:$W$1452,20,0)</f>
        <v>65</v>
      </c>
    </row>
    <row r="15" spans="1:13" ht="11.25" customHeight="1" x14ac:dyDescent="0.2">
      <c r="A15" s="46"/>
      <c r="B15" s="27">
        <v>11</v>
      </c>
      <c r="C15" s="123" t="str">
        <f>VLOOKUP(B15,Spieltag!$K$2:$AB$1562,18,0)</f>
        <v>Loїs Openda (A)</v>
      </c>
      <c r="D15" s="124" t="str">
        <f>VLOOKUP(C15,Auswertung!$D$15:$F$1452,3,0)</f>
        <v>Leipzig</v>
      </c>
      <c r="E15" s="125">
        <f>VLOOKUP(C15,Auswertung!$D$15:$W$1452,20,0)</f>
        <v>50</v>
      </c>
      <c r="F15" s="42">
        <v>11</v>
      </c>
      <c r="G15" s="123" t="str">
        <f>VLOOKUP(F15,Spieltag!$L$2:$AB$1562,17,0)</f>
        <v>Niclas Füllkrug</v>
      </c>
      <c r="H15" s="124" t="str">
        <f>VLOOKUP(G15,Auswertung!$D$15:$F$1452,3,0)</f>
        <v>Dortmund</v>
      </c>
      <c r="I15" s="125">
        <f>VLOOKUP(G15,Auswertung!$D$15:$W$1452,20,0)</f>
        <v>20</v>
      </c>
      <c r="J15" s="42">
        <v>11</v>
      </c>
      <c r="K15" s="123" t="str">
        <f>VLOOKUP(J15,Spieltag!$M$2:$AB$1562,16,0)</f>
        <v>Harry Kane (A)</v>
      </c>
      <c r="L15" s="124" t="str">
        <f>VLOOKUP(K15,Auswertung!$D$15:$F$1452,3,0)</f>
        <v>München</v>
      </c>
      <c r="M15" s="125">
        <f>VLOOKUP(K15,Auswertung!$D$15:$W$1452,20,0)</f>
        <v>35</v>
      </c>
    </row>
    <row r="16" spans="1:13" ht="11.25" customHeight="1" thickBot="1" x14ac:dyDescent="0.25">
      <c r="E16" s="47">
        <f>SUM(E5:E15)</f>
        <v>360</v>
      </c>
      <c r="G16" s="208"/>
      <c r="I16" s="47">
        <f>SUM(I5:I15)</f>
        <v>390</v>
      </c>
      <c r="M16" s="47">
        <f>SUM(M5:M15)</f>
        <v>360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4</v>
      </c>
      <c r="E20" s="32" t="s">
        <v>6</v>
      </c>
      <c r="F20" s="29"/>
      <c r="G20" s="30" t="s">
        <v>92</v>
      </c>
      <c r="H20" s="31">
        <f>[2]Pitti!$B$3</f>
        <v>0</v>
      </c>
      <c r="I20" s="32" t="s">
        <v>6</v>
      </c>
      <c r="J20" s="29"/>
      <c r="K20" s="30" t="s">
        <v>92</v>
      </c>
      <c r="L20" s="31">
        <f>[2]Himmelfahrtskommando!$B$3</f>
        <v>0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VLOOKUP(B22,Spieltag!$N$2:$AB$1562,15,0)</f>
        <v>Kevin Trapp</v>
      </c>
      <c r="D22" s="115" t="str">
        <f>VLOOKUP(C22,Auswertung!$D$15:$F$1452,3,0)</f>
        <v>Frankfurt</v>
      </c>
      <c r="E22" s="116">
        <f>VLOOKUP(C22,Auswertung!$D$15:$W$1452,20,0)</f>
        <v>0</v>
      </c>
      <c r="F22" s="38">
        <v>1</v>
      </c>
      <c r="G22" s="114" t="str">
        <f>VLOOKUP(F22,Spieltag!$O$2:$AB$1562,14,0)</f>
        <v>Kevin Trapp</v>
      </c>
      <c r="H22" s="115" t="str">
        <f>VLOOKUP(G22,Auswertung!$D$15:$F$1452,3,0)</f>
        <v>Frankfurt</v>
      </c>
      <c r="I22" s="116">
        <f>VLOOKUP(G22,Auswertung!$D$15:$W$1452,20,0)</f>
        <v>0</v>
      </c>
      <c r="J22" s="39">
        <v>1</v>
      </c>
      <c r="K22" s="114" t="str">
        <f>VLOOKUP(J22,Spieltag!$P$2:$AB$1562,13,0)</f>
        <v>Kevin Trapp</v>
      </c>
      <c r="L22" s="115" t="str">
        <f>VLOOKUP(K22,Auswertung!$D$15:$F$1452,3,0)</f>
        <v>Frankfurt</v>
      </c>
      <c r="M22" s="116">
        <f>VLOOKUP(K22,Auswertung!$D$15:$W$1452,20,0)</f>
        <v>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VLOOKUP(B23,Spieltag!$N$2:$AB$1562,15,0)</f>
        <v>Niklas Süle</v>
      </c>
      <c r="D23" s="118" t="str">
        <f>VLOOKUP(C23,Auswertung!$D$15:$F$1452,3,0)</f>
        <v>Dortmund</v>
      </c>
      <c r="E23" s="119">
        <f>VLOOKUP(C23,Auswertung!$D$15:$W$1452,20,0)</f>
        <v>0</v>
      </c>
      <c r="F23" s="38">
        <v>2</v>
      </c>
      <c r="G23" s="117" t="str">
        <f>VLOOKUP(F23,Spieltag!$O$2:$AB$1562,14,0)</f>
        <v>Maxence Lacroix (A)</v>
      </c>
      <c r="H23" s="118" t="str">
        <f>VLOOKUP(G23,Auswertung!$D$15:$F$1452,3,0)</f>
        <v>Wolfsburg</v>
      </c>
      <c r="I23" s="119">
        <f>VLOOKUP(G23,Auswertung!$D$15:$W$1452,20,0)</f>
        <v>-10</v>
      </c>
      <c r="J23" s="39">
        <v>2</v>
      </c>
      <c r="K23" s="117" t="str">
        <f>VLOOKUP(J23,Spieltag!$P$2:$AB$1562,13,0)</f>
        <v>Benjamin Henrichs</v>
      </c>
      <c r="L23" s="118" t="str">
        <f>VLOOKUP(K23,Auswertung!$D$15:$F$1452,3,0)</f>
        <v>Leipzig</v>
      </c>
      <c r="M23" s="119">
        <f>VLOOKUP(K23,Auswertung!$D$15:$W$1452,20,0)</f>
        <v>40</v>
      </c>
    </row>
    <row r="24" spans="1:13" ht="11.25" customHeight="1" x14ac:dyDescent="0.2">
      <c r="A24" s="41"/>
      <c r="B24" s="42">
        <v>3</v>
      </c>
      <c r="C24" s="117" t="str">
        <f>VLOOKUP(B24,Spieltag!$N$2:$AB$1562,15,0)</f>
        <v>Philipp Max</v>
      </c>
      <c r="D24" s="118" t="str">
        <f>VLOOKUP(C24,Auswertung!$D$15:$F$1452,3,0)</f>
        <v>Frankfurt</v>
      </c>
      <c r="E24" s="119">
        <f>VLOOKUP(C24,Auswertung!$D$15:$W$1452,20,0)</f>
        <v>0</v>
      </c>
      <c r="F24" s="27">
        <v>3</v>
      </c>
      <c r="G24" s="117" t="str">
        <f>VLOOKUP(F24,Spieltag!$O$2:$AB$1562,14,0)</f>
        <v>Philipp Max</v>
      </c>
      <c r="H24" s="118" t="str">
        <f>VLOOKUP(G24,Auswertung!$D$15:$F$1452,3,0)</f>
        <v>Frankfurt</v>
      </c>
      <c r="I24" s="119">
        <f>VLOOKUP(G24,Auswertung!$D$15:$W$1452,20,0)</f>
        <v>0</v>
      </c>
      <c r="J24" s="42">
        <v>3</v>
      </c>
      <c r="K24" s="117" t="str">
        <f>VLOOKUP(J24,Spieltag!$P$2:$AB$1562,13,0)</f>
        <v>David Raum</v>
      </c>
      <c r="L24" s="118" t="str">
        <f>VLOOKUP(K24,Auswertung!$D$15:$F$1452,3,0)</f>
        <v>Leipzig</v>
      </c>
      <c r="M24" s="119">
        <f>VLOOKUP(K24,Auswertung!$D$15:$W$1452,20,0)</f>
        <v>40</v>
      </c>
    </row>
    <row r="25" spans="1:13" ht="11.25" customHeight="1" x14ac:dyDescent="0.2">
      <c r="A25" s="41"/>
      <c r="B25" s="42">
        <v>4</v>
      </c>
      <c r="C25" s="117" t="str">
        <f>VLOOKUP(B25,Spieltag!$N$2:$AB$1562,15,0)</f>
        <v>Min-Jae Kim (A)</v>
      </c>
      <c r="D25" s="118" t="str">
        <f>VLOOKUP(C25,Auswertung!$D$15:$F$1452,3,0)</f>
        <v>München</v>
      </c>
      <c r="E25" s="119">
        <f>VLOOKUP(C25,Auswertung!$D$15:$W$1452,20,0)</f>
        <v>0</v>
      </c>
      <c r="F25" s="27">
        <v>4</v>
      </c>
      <c r="G25" s="117" t="str">
        <f>VLOOKUP(F25,Spieltag!$O$2:$AB$1562,14,0)</f>
        <v>Jonathan Tah</v>
      </c>
      <c r="H25" s="118" t="str">
        <f>VLOOKUP(G25,Auswertung!$D$15:$F$1452,3,0)</f>
        <v>Leverkusen</v>
      </c>
      <c r="I25" s="119">
        <f>VLOOKUP(G25,Auswertung!$D$15:$W$1452,20,0)</f>
        <v>20</v>
      </c>
      <c r="J25" s="42">
        <v>4</v>
      </c>
      <c r="K25" s="117" t="str">
        <f>VLOOKUP(J25,Spieltag!$P$2:$AB$1562,13,0)</f>
        <v>Philipp Max</v>
      </c>
      <c r="L25" s="118" t="str">
        <f>VLOOKUP(K25,Auswertung!$D$15:$F$1452,3,0)</f>
        <v>Frankfurt</v>
      </c>
      <c r="M25" s="119">
        <f>VLOOKUP(K25,Auswertung!$D$15:$W$1452,20,0)</f>
        <v>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VLOOKUP(B26,Spieltag!$N$2:$AB$1562,15,0)</f>
        <v>Julian Brandt</v>
      </c>
      <c r="D26" s="121" t="str">
        <f>VLOOKUP(C26,Auswertung!$D$15:$F$1452,3,0)</f>
        <v>Dortmund</v>
      </c>
      <c r="E26" s="122">
        <f>VLOOKUP(C26,Auswertung!$D$15:$W$1452,20,0)</f>
        <v>20</v>
      </c>
      <c r="F26" s="38">
        <v>5</v>
      </c>
      <c r="G26" s="120" t="str">
        <f>VLOOKUP(F26,Spieltag!$O$2:$AB$1562,14,0)</f>
        <v>Kevin Kampl (A)</v>
      </c>
      <c r="H26" s="121" t="str">
        <f>VLOOKUP(G26,Auswertung!$D$15:$F$1452,3,0)</f>
        <v>Leipzig</v>
      </c>
      <c r="I26" s="122">
        <f>VLOOKUP(G26,Auswertung!$D$15:$W$1452,20,0)</f>
        <v>0</v>
      </c>
      <c r="J26" s="39">
        <v>5</v>
      </c>
      <c r="K26" s="120" t="str">
        <f>VLOOKUP(J26,Spieltag!$P$2:$AB$1562,13,0)</f>
        <v>Vincenzo Grifo</v>
      </c>
      <c r="L26" s="121" t="str">
        <f>VLOOKUP(K26,Auswertung!$D$15:$F$1452,3,0)</f>
        <v>Freiburg</v>
      </c>
      <c r="M26" s="122">
        <f>VLOOKUP(K26,Auswertung!$D$15:$W$1452,20,0)</f>
        <v>0</v>
      </c>
    </row>
    <row r="27" spans="1:13" ht="11.25" customHeight="1" x14ac:dyDescent="0.2">
      <c r="A27" s="43"/>
      <c r="B27" s="39">
        <v>6</v>
      </c>
      <c r="C27" s="120" t="str">
        <f>VLOOKUP(B27,Spieltag!$N$2:$AB$1562,15,0)</f>
        <v>Xavi Simons (A)</v>
      </c>
      <c r="D27" s="121" t="str">
        <f>VLOOKUP(C27,Auswertung!$D$15:$F$1452,3,0)</f>
        <v>Leipzig</v>
      </c>
      <c r="E27" s="122">
        <f>VLOOKUP(C27,Auswertung!$D$15:$W$1452,20,0)</f>
        <v>40</v>
      </c>
      <c r="F27" s="38">
        <v>6</v>
      </c>
      <c r="G27" s="120" t="str">
        <f>VLOOKUP(F27,Spieltag!$O$2:$AB$1562,14,0)</f>
        <v>Leon Goretzka</v>
      </c>
      <c r="H27" s="121" t="str">
        <f>VLOOKUP(G27,Auswertung!$D$15:$F$1452,3,0)</f>
        <v>München</v>
      </c>
      <c r="I27" s="122">
        <f>VLOOKUP(G27,Auswertung!$D$15:$W$1452,20,0)</f>
        <v>50</v>
      </c>
      <c r="J27" s="39">
        <v>6</v>
      </c>
      <c r="K27" s="120" t="str">
        <f>VLOOKUP(J27,Spieltag!$P$2:$AB$1562,13,0)</f>
        <v>Florian Wirtz</v>
      </c>
      <c r="L27" s="121" t="str">
        <f>VLOOKUP(K27,Auswertung!$D$15:$F$1452,3,0)</f>
        <v>Leverkusen</v>
      </c>
      <c r="M27" s="122">
        <f>VLOOKUP(K27,Auswertung!$D$15:$W$1452,20,0)</f>
        <v>20</v>
      </c>
    </row>
    <row r="28" spans="1:13" ht="11.25" customHeight="1" x14ac:dyDescent="0.2">
      <c r="A28" s="44"/>
      <c r="B28" s="42">
        <v>7</v>
      </c>
      <c r="C28" s="120" t="str">
        <f>VLOOKUP(B28,Spieltag!$N$2:$AB$1562,15,0)</f>
        <v>Kevin Kampl (A)</v>
      </c>
      <c r="D28" s="121" t="str">
        <f>VLOOKUP(C28,Auswertung!$D$15:$F$1452,3,0)</f>
        <v>Leipzig</v>
      </c>
      <c r="E28" s="122">
        <f>VLOOKUP(C28,Auswertung!$D$15:$W$1452,20,0)</f>
        <v>0</v>
      </c>
      <c r="F28" s="27">
        <v>7</v>
      </c>
      <c r="G28" s="120" t="str">
        <f>VLOOKUP(F28,Spieltag!$O$2:$AB$1562,14,0)</f>
        <v>Ridle Baku</v>
      </c>
      <c r="H28" s="121" t="str">
        <f>VLOOKUP(G28,Auswertung!$D$15:$F$1452,3,0)</f>
        <v>Wolfsburg</v>
      </c>
      <c r="I28" s="122">
        <f>VLOOKUP(G28,Auswertung!$D$15:$W$1452,20,0)</f>
        <v>-10</v>
      </c>
      <c r="J28" s="42">
        <v>7</v>
      </c>
      <c r="K28" s="120" t="str">
        <f>VLOOKUP(J28,Spieltag!$P$2:$AB$1562,13,0)</f>
        <v>Ridle Baku</v>
      </c>
      <c r="L28" s="121" t="str">
        <f>VLOOKUP(K28,Auswertung!$D$15:$F$1452,3,0)</f>
        <v>Wolfsburg</v>
      </c>
      <c r="M28" s="122">
        <f>VLOOKUP(K28,Auswertung!$D$15:$W$1452,20,0)</f>
        <v>-10</v>
      </c>
    </row>
    <row r="29" spans="1:13" ht="11.25" customHeight="1" x14ac:dyDescent="0.2">
      <c r="A29" s="44"/>
      <c r="B29" s="42">
        <v>8</v>
      </c>
      <c r="C29" s="120" t="str">
        <f>VLOOKUP(B29,Spieltag!$N$2:$AB$1562,15,0)</f>
        <v>Florian Wirtz</v>
      </c>
      <c r="D29" s="121" t="str">
        <f>VLOOKUP(C29,Auswertung!$D$15:$F$1452,3,0)</f>
        <v>Leverkusen</v>
      </c>
      <c r="E29" s="122">
        <f>VLOOKUP(C29,Auswertung!$D$15:$W$1452,20,0)</f>
        <v>20</v>
      </c>
      <c r="F29" s="27">
        <v>8</v>
      </c>
      <c r="G29" s="120" t="str">
        <f>VLOOKUP(F29,Spieltag!$O$2:$AB$1562,14,0)</f>
        <v>Vincenzo Grifo</v>
      </c>
      <c r="H29" s="121" t="str">
        <f>VLOOKUP(G29,Auswertung!$D$15:$F$1452,3,0)</f>
        <v>Freiburg</v>
      </c>
      <c r="I29" s="122">
        <f>VLOOKUP(G29,Auswertung!$D$15:$W$1452,20,0)</f>
        <v>0</v>
      </c>
      <c r="J29" s="42">
        <v>8</v>
      </c>
      <c r="K29" s="120" t="str">
        <f>VLOOKUP(J29,Spieltag!$P$2:$AB$1562,13,0)</f>
        <v>Leon Goretzka</v>
      </c>
      <c r="L29" s="121" t="str">
        <f>VLOOKUP(K29,Auswertung!$D$15:$F$1452,3,0)</f>
        <v>München</v>
      </c>
      <c r="M29" s="122">
        <f>VLOOKUP(K29,Auswertung!$D$15:$W$1452,20,0)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VLOOKUP(B30,Spieltag!$N$2:$AB$1562,15,0)</f>
        <v>Harry Kane (A)</v>
      </c>
      <c r="D30" s="124" t="str">
        <f>VLOOKUP(C30,Auswertung!$D$15:$F$1452,3,0)</f>
        <v>München</v>
      </c>
      <c r="E30" s="125">
        <f>VLOOKUP(C30,Auswertung!$D$15:$W$1452,20,0)</f>
        <v>35</v>
      </c>
      <c r="F30" s="38">
        <v>9</v>
      </c>
      <c r="G30" s="123" t="str">
        <f>VLOOKUP(F30,Spieltag!$O$2:$AB$1562,14,0)</f>
        <v>Victor Boniface (A)</v>
      </c>
      <c r="H30" s="124" t="str">
        <f>VLOOKUP(G30,Auswertung!$D$15:$F$1452,3,0)</f>
        <v>Leverkusen</v>
      </c>
      <c r="I30" s="125">
        <f>VLOOKUP(G30,Auswertung!$D$15:$W$1452,20,0)</f>
        <v>30</v>
      </c>
      <c r="J30" s="39">
        <v>9</v>
      </c>
      <c r="K30" s="123" t="str">
        <f>VLOOKUP(J30,Spieltag!$P$2:$AB$1562,13,0)</f>
        <v>Harry Kane (A)</v>
      </c>
      <c r="L30" s="124" t="str">
        <f>VLOOKUP(K30,Auswertung!$D$15:$F$1452,3,0)</f>
        <v>München</v>
      </c>
      <c r="M30" s="125">
        <f>VLOOKUP(K30,Auswertung!$D$15:$W$1452,20,0)</f>
        <v>35</v>
      </c>
    </row>
    <row r="31" spans="1:13" ht="11.25" customHeight="1" x14ac:dyDescent="0.2">
      <c r="A31" s="46"/>
      <c r="B31" s="42">
        <v>10</v>
      </c>
      <c r="C31" s="123" t="str">
        <f>VLOOKUP(B31,Spieltag!$N$2:$AB$1562,15,0)</f>
        <v>Deniz Undav</v>
      </c>
      <c r="D31" s="124" t="str">
        <f>VLOOKUP(C31,Auswertung!$D$15:$F$1452,3,0)</f>
        <v>Stuttgart</v>
      </c>
      <c r="E31" s="125">
        <f>VLOOKUP(C31,Auswertung!$D$15:$W$1452,20,0)</f>
        <v>65</v>
      </c>
      <c r="F31" s="27">
        <v>10</v>
      </c>
      <c r="G31" s="123" t="str">
        <f>VLOOKUP(F31,Spieltag!$O$2:$AB$1562,14,0)</f>
        <v>Loїs Openda (A)</v>
      </c>
      <c r="H31" s="124" t="str">
        <f>VLOOKUP(G31,Auswertung!$D$15:$F$1452,3,0)</f>
        <v>Leipzig</v>
      </c>
      <c r="I31" s="125">
        <f>VLOOKUP(G31,Auswertung!$D$15:$W$1452,20,0)</f>
        <v>50</v>
      </c>
      <c r="J31" s="42">
        <v>10</v>
      </c>
      <c r="K31" s="123" t="str">
        <f>VLOOKUP(J31,Spieltag!$P$2:$AB$1562,13,0)</f>
        <v>Victor Boniface (A)</v>
      </c>
      <c r="L31" s="124" t="str">
        <f>VLOOKUP(K31,Auswertung!$D$15:$F$1452,3,0)</f>
        <v>Leverkusen</v>
      </c>
      <c r="M31" s="125">
        <f>VLOOKUP(K31,Auswertung!$D$15:$W$1452,20,0)</f>
        <v>30</v>
      </c>
    </row>
    <row r="32" spans="1:13" ht="11.25" customHeight="1" thickBot="1" x14ac:dyDescent="0.25">
      <c r="A32" s="46"/>
      <c r="B32" s="42">
        <v>11</v>
      </c>
      <c r="C32" s="123" t="str">
        <f>VLOOKUP(B32,Spieltag!$N$2:$AB$1562,15,0)</f>
        <v>Victor Boniface (A)</v>
      </c>
      <c r="D32" s="124" t="str">
        <f>VLOOKUP(C32,Auswertung!$D$15:$F$1452,3,0)</f>
        <v>Leverkusen</v>
      </c>
      <c r="E32" s="125">
        <f>VLOOKUP(C32,Auswertung!$D$15:$W$1452,20,0)</f>
        <v>30</v>
      </c>
      <c r="F32" s="27">
        <v>11</v>
      </c>
      <c r="G32" s="123" t="str">
        <f>VLOOKUP(F32,Spieltag!$O$2:$AB$1562,14,0)</f>
        <v>Harry Kane (A)</v>
      </c>
      <c r="H32" s="124" t="str">
        <f>VLOOKUP(G32,Auswertung!$D$15:$F$1452,3,0)</f>
        <v>München</v>
      </c>
      <c r="I32" s="125">
        <f>VLOOKUP(G32,Auswertung!$D$15:$W$1452,20,0)</f>
        <v>35</v>
      </c>
      <c r="J32" s="42">
        <v>11</v>
      </c>
      <c r="K32" s="123" t="str">
        <f>VLOOKUP(J32,Spieltag!$P$2:$AB$1562,13,0)</f>
        <v>Serhou Guirassy (A)</v>
      </c>
      <c r="L32" s="124" t="str">
        <f>VLOOKUP(K32,Auswertung!$D$15:$F$1452,3,0)</f>
        <v>Stuttgart</v>
      </c>
      <c r="M32" s="125">
        <f>VLOOKUP(K32,Auswertung!$D$15:$W$1452,20,0)</f>
        <v>65</v>
      </c>
    </row>
    <row r="33" spans="1:13" ht="11.25" customHeight="1" thickBot="1" x14ac:dyDescent="0.25">
      <c r="C33" s="48"/>
      <c r="E33" s="47">
        <f>SUM(E22:E32)</f>
        <v>210</v>
      </c>
      <c r="G33" s="48"/>
      <c r="I33" s="52">
        <f>SUM(I22:I32)</f>
        <v>165</v>
      </c>
      <c r="K33" s="48"/>
      <c r="L33" s="28"/>
      <c r="M33" s="52">
        <f>SUM(M22:M32)</f>
        <v>270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5</v>
      </c>
      <c r="E37" s="32" t="s">
        <v>6</v>
      </c>
      <c r="F37" s="29"/>
      <c r="G37" s="30" t="s">
        <v>92</v>
      </c>
      <c r="H37" s="31">
        <f>[2]Markus!$B$3</f>
        <v>12</v>
      </c>
      <c r="I37" s="32" t="s">
        <v>6</v>
      </c>
      <c r="J37" s="29"/>
      <c r="K37" s="30" t="s">
        <v>92</v>
      </c>
      <c r="L37" s="31">
        <f>[2]Rainer!$B$3</f>
        <v>7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VLOOKUP(B39,Spieltag!$Q$2:$AB$1562,12,0)</f>
        <v>Kevin Trapp</v>
      </c>
      <c r="D39" s="115" t="str">
        <f>VLOOKUP(C39,Auswertung!$D$15:$F$1452,3,0)</f>
        <v>Frankfurt</v>
      </c>
      <c r="E39" s="116">
        <f>VLOOKUP(C39,Auswertung!$D$15:$W$1452,20,0)</f>
        <v>0</v>
      </c>
      <c r="F39" s="39">
        <v>1</v>
      </c>
      <c r="G39" s="114" t="str">
        <f>VLOOKUP(F39,Spieltag!$R$2:$AB$1562,11,0)</f>
        <v>Janis Blaswich</v>
      </c>
      <c r="H39" s="115" t="str">
        <f>VLOOKUP(G39,Auswertung!$D$15:$F$1452,3,0)</f>
        <v>Leipzig</v>
      </c>
      <c r="I39" s="116">
        <f>VLOOKUP(G39,Auswertung!$D$15:$W$1452,20,0)</f>
        <v>40</v>
      </c>
      <c r="J39" s="38">
        <v>1</v>
      </c>
      <c r="K39" s="114" t="str">
        <f>VLOOKUP(J39,Spieltag!$S$2:$AB$1562,10,0)</f>
        <v>Kevin Trapp</v>
      </c>
      <c r="L39" s="115" t="str">
        <f>VLOOKUP(K39,Auswertung!$D$15:$F$1452,3,0)</f>
        <v>Frankfurt</v>
      </c>
      <c r="M39" s="116">
        <f>VLOOKUP(K39,Auswertung!$D$15:$W$1452,20,0)</f>
        <v>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VLOOKUP(B40,Spieltag!$Q$2:$AB$1562,12,0)</f>
        <v>Jonathan Tah</v>
      </c>
      <c r="D40" s="118" t="str">
        <f>VLOOKUP(C40,Auswertung!$D$15:$F$1452,3,0)</f>
        <v>Leverkusen</v>
      </c>
      <c r="E40" s="119">
        <f>VLOOKUP(C40,Auswertung!$D$15:$W$1452,20,0)</f>
        <v>20</v>
      </c>
      <c r="F40" s="39">
        <v>2</v>
      </c>
      <c r="G40" s="117" t="str">
        <f>VLOOKUP(F40,Spieltag!$R$2:$AB$1562,11,0)</f>
        <v>Matthias Ginter</v>
      </c>
      <c r="H40" s="118" t="str">
        <f>VLOOKUP(G40,Auswertung!$D$15:$F$1452,3,0)</f>
        <v>Freiburg</v>
      </c>
      <c r="I40" s="119">
        <f>VLOOKUP(G40,Auswertung!$D$15:$W$1452,20,0)</f>
        <v>55</v>
      </c>
      <c r="J40" s="38">
        <v>2</v>
      </c>
      <c r="K40" s="117" t="str">
        <f>VLOOKUP(J40,Spieltag!$S$2:$AB$1562,10,0)</f>
        <v>David Raum</v>
      </c>
      <c r="L40" s="118" t="str">
        <f>VLOOKUP(K40,Auswertung!$D$15:$F$1452,3,0)</f>
        <v>Leipzig</v>
      </c>
      <c r="M40" s="119">
        <f>VLOOKUP(K40,Auswertung!$D$15:$W$1452,20,0)</f>
        <v>40</v>
      </c>
    </row>
    <row r="41" spans="1:13" ht="11.25" customHeight="1" x14ac:dyDescent="0.2">
      <c r="A41" s="41"/>
      <c r="B41" s="42">
        <v>3</v>
      </c>
      <c r="C41" s="117" t="str">
        <f>VLOOKUP(B41,Spieltag!$Q$2:$AB$1562,12,0)</f>
        <v>David Raum</v>
      </c>
      <c r="D41" s="118" t="str">
        <f>VLOOKUP(C41,Auswertung!$D$15:$F$1452,3,0)</f>
        <v>Leipzig</v>
      </c>
      <c r="E41" s="119">
        <f>VLOOKUP(C41,Auswertung!$D$15:$W$1452,20,0)</f>
        <v>40</v>
      </c>
      <c r="F41" s="42">
        <v>3</v>
      </c>
      <c r="G41" s="117" t="str">
        <f>VLOOKUP(F41,Spieltag!$R$2:$AB$1562,11,0)</f>
        <v>David Raum</v>
      </c>
      <c r="H41" s="118" t="str">
        <f>VLOOKUP(G41,Auswertung!$D$15:$F$1452,3,0)</f>
        <v>Leipzig</v>
      </c>
      <c r="I41" s="119">
        <f>VLOOKUP(G41,Auswertung!$D$15:$W$1452,20,0)</f>
        <v>40</v>
      </c>
      <c r="J41" s="27">
        <v>3</v>
      </c>
      <c r="K41" s="117" t="str">
        <f>VLOOKUP(J41,Spieltag!$S$2:$AB$1562,10,0)</f>
        <v>Nico Elvedi (A)</v>
      </c>
      <c r="L41" s="118" t="str">
        <f>VLOOKUP(K41,Auswertung!$D$15:$F$1452,3,0)</f>
        <v>M'gladbach</v>
      </c>
      <c r="M41" s="119">
        <f>VLOOKUP(K41,Auswertung!$D$15:$W$1452,20,0)</f>
        <v>25</v>
      </c>
    </row>
    <row r="42" spans="1:13" ht="11.25" customHeight="1" x14ac:dyDescent="0.2">
      <c r="A42" s="41"/>
      <c r="B42" s="42">
        <v>4</v>
      </c>
      <c r="C42" s="117" t="str">
        <f>VLOOKUP(B42,Spieltag!$Q$2:$AB$1562,12,0)</f>
        <v>Kevin Vogt</v>
      </c>
      <c r="D42" s="118" t="str">
        <f>VLOOKUP(C42,Auswertung!$D$15:$F$1452,3,0)</f>
        <v>Hoffenheim</v>
      </c>
      <c r="E42" s="119">
        <f>VLOOKUP(C42,Auswertung!$D$15:$W$1452,20,0)</f>
        <v>0</v>
      </c>
      <c r="F42" s="42">
        <v>4</v>
      </c>
      <c r="G42" s="117" t="str">
        <f>VLOOKUP(F42,Spieltag!$R$2:$AB$1562,11,0)</f>
        <v>Kevin Vogt</v>
      </c>
      <c r="H42" s="118" t="str">
        <f>VLOOKUP(G42,Auswertung!$D$15:$F$1452,3,0)</f>
        <v>Hoffenheim</v>
      </c>
      <c r="I42" s="119">
        <f>VLOOKUP(G42,Auswertung!$D$15:$W$1452,20,0)</f>
        <v>0</v>
      </c>
      <c r="J42" s="27">
        <v>4</v>
      </c>
      <c r="K42" s="117" t="str">
        <f>VLOOKUP(J42,Spieltag!$S$2:$AB$1562,10,0)</f>
        <v>Waldemar Anton</v>
      </c>
      <c r="L42" s="118" t="str">
        <f>VLOOKUP(K42,Auswertung!$D$15:$F$1452,3,0)</f>
        <v>Stuttgart</v>
      </c>
      <c r="M42" s="119">
        <f>VLOOKUP(K42,Auswertung!$D$15:$W$1452,20,0)</f>
        <v>65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VLOOKUP(B43,Spieltag!$Q$2:$AB$1562,12,0)</f>
        <v>Kevin Kampl (A)</v>
      </c>
      <c r="D43" s="121" t="str">
        <f>VLOOKUP(C43,Auswertung!$D$15:$F$1452,3,0)</f>
        <v>Leipzig</v>
      </c>
      <c r="E43" s="122">
        <f>VLOOKUP(C43,Auswertung!$D$15:$W$1452,20,0)</f>
        <v>0</v>
      </c>
      <c r="F43" s="39">
        <v>5</v>
      </c>
      <c r="G43" s="120" t="str">
        <f>VLOOKUP(F43,Spieltag!$R$2:$AB$1562,11,0)</f>
        <v>Jonas Hofmann</v>
      </c>
      <c r="H43" s="121" t="str">
        <f>VLOOKUP(G43,Auswertung!$D$15:$F$1452,3,0)</f>
        <v>Leverkusen</v>
      </c>
      <c r="I43" s="122">
        <f>VLOOKUP(G43,Auswertung!$D$15:$W$1452,20,0)</f>
        <v>20</v>
      </c>
      <c r="J43" s="38">
        <v>5</v>
      </c>
      <c r="K43" s="120" t="str">
        <f>VLOOKUP(J43,Spieltag!$S$2:$AB$1562,10,0)</f>
        <v>Joshua Kimmich</v>
      </c>
      <c r="L43" s="121" t="str">
        <f>VLOOKUP(K43,Auswertung!$D$15:$F$1452,3,0)</f>
        <v>München</v>
      </c>
      <c r="M43" s="122">
        <f>VLOOKUP(K43,Auswertung!$D$15:$W$1452,20,0)</f>
        <v>50</v>
      </c>
    </row>
    <row r="44" spans="1:13" ht="11.25" customHeight="1" x14ac:dyDescent="0.2">
      <c r="A44" s="43"/>
      <c r="B44" s="39">
        <v>6</v>
      </c>
      <c r="C44" s="120" t="str">
        <f>VLOOKUP(B44,Spieltag!$Q$2:$AB$1562,12,0)</f>
        <v>Leon Goretzka</v>
      </c>
      <c r="D44" s="121" t="str">
        <f>VLOOKUP(C44,Auswertung!$D$15:$F$1452,3,0)</f>
        <v>München</v>
      </c>
      <c r="E44" s="122">
        <f>VLOOKUP(C44,Auswertung!$D$15:$W$1452,20,0)</f>
        <v>50</v>
      </c>
      <c r="F44" s="39">
        <v>6</v>
      </c>
      <c r="G44" s="120" t="str">
        <f>VLOOKUP(F44,Spieltag!$R$2:$AB$1562,11,0)</f>
        <v>Florian Wirtz</v>
      </c>
      <c r="H44" s="121" t="str">
        <f>VLOOKUP(G44,Auswertung!$D$15:$F$1452,3,0)</f>
        <v>Leverkusen</v>
      </c>
      <c r="I44" s="122">
        <f>VLOOKUP(G44,Auswertung!$D$15:$W$1452,20,0)</f>
        <v>20</v>
      </c>
      <c r="J44" s="38">
        <v>6</v>
      </c>
      <c r="K44" s="120" t="str">
        <f>VLOOKUP(J44,Spieltag!$S$2:$AB$1562,10,0)</f>
        <v>Chris Führich</v>
      </c>
      <c r="L44" s="121" t="str">
        <f>VLOOKUP(K44,Auswertung!$D$15:$F$1452,3,0)</f>
        <v>Stuttgart</v>
      </c>
      <c r="M44" s="122">
        <f>VLOOKUP(K44,Auswertung!$D$15:$W$1452,20,0)</f>
        <v>60</v>
      </c>
    </row>
    <row r="45" spans="1:13" ht="11.25" customHeight="1" x14ac:dyDescent="0.2">
      <c r="A45" s="44"/>
      <c r="B45" s="42">
        <v>7</v>
      </c>
      <c r="C45" s="120" t="str">
        <f>VLOOKUP(B45,Spieltag!$Q$2:$AB$1562,12,0)</f>
        <v>Anton Stach</v>
      </c>
      <c r="D45" s="121" t="str">
        <f>VLOOKUP(C45,Auswertung!$D$15:$F$1452,3,0)</f>
        <v>Hoffenheim</v>
      </c>
      <c r="E45" s="122">
        <f>VLOOKUP(C45,Auswertung!$D$15:$W$1452,20,0)</f>
        <v>0</v>
      </c>
      <c r="F45" s="42">
        <v>7</v>
      </c>
      <c r="G45" s="120" t="str">
        <f>VLOOKUP(F45,Spieltag!$R$2:$AB$1562,11,0)</f>
        <v>Anton Stach</v>
      </c>
      <c r="H45" s="121" t="str">
        <f>VLOOKUP(G45,Auswertung!$D$15:$F$1452,3,0)</f>
        <v>Hoffenheim</v>
      </c>
      <c r="I45" s="122">
        <f>VLOOKUP(G45,Auswertung!$D$15:$W$1452,20,0)</f>
        <v>0</v>
      </c>
      <c r="J45" s="27">
        <v>7</v>
      </c>
      <c r="K45" s="120" t="str">
        <f>VLOOKUP(J45,Spieltag!$S$2:$AB$1562,10,0)</f>
        <v>Xavi Simons (A)</v>
      </c>
      <c r="L45" s="121" t="str">
        <f>VLOOKUP(K45,Auswertung!$D$15:$F$1452,3,0)</f>
        <v>Leipzig</v>
      </c>
      <c r="M45" s="122">
        <f>VLOOKUP(K45,Auswertung!$D$15:$W$1452,20,0)</f>
        <v>40</v>
      </c>
    </row>
    <row r="46" spans="1:13" ht="11.25" customHeight="1" x14ac:dyDescent="0.2">
      <c r="A46" s="44"/>
      <c r="B46" s="42">
        <v>8</v>
      </c>
      <c r="C46" s="120" t="str">
        <f>VLOOKUP(B46,Spieltag!$Q$2:$AB$1562,12,0)</f>
        <v>Florian Wirtz</v>
      </c>
      <c r="D46" s="121" t="str">
        <f>VLOOKUP(C46,Auswertung!$D$15:$F$1452,3,0)</f>
        <v>Leverkusen</v>
      </c>
      <c r="E46" s="122">
        <f>VLOOKUP(C46,Auswertung!$D$15:$W$1452,20,0)</f>
        <v>20</v>
      </c>
      <c r="F46" s="42">
        <v>8</v>
      </c>
      <c r="G46" s="120" t="str">
        <f>VLOOKUP(F46,Spieltag!$R$2:$AB$1562,11,0)</f>
        <v>Julian Brandt</v>
      </c>
      <c r="H46" s="121" t="str">
        <f>VLOOKUP(G46,Auswertung!$D$15:$F$1452,3,0)</f>
        <v>Dortmund</v>
      </c>
      <c r="I46" s="122">
        <f>VLOOKUP(G46,Auswertung!$D$15:$W$1452,20,0)</f>
        <v>20</v>
      </c>
      <c r="J46" s="27">
        <v>8</v>
      </c>
      <c r="K46" s="120" t="str">
        <f>VLOOKUP(J46,Spieltag!$S$2:$AB$1562,10,0)</f>
        <v>Jonas Hofmann</v>
      </c>
      <c r="L46" s="121" t="str">
        <f>VLOOKUP(K46,Auswertung!$D$15:$F$1452,3,0)</f>
        <v>Leverkusen</v>
      </c>
      <c r="M46" s="122">
        <f>VLOOKUP(K46,Auswertung!$D$15:$W$1452,20,0)</f>
        <v>20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VLOOKUP(B47,Spieltag!$Q$2:$AB$1562,12,0)</f>
        <v>Harry Kane (A)</v>
      </c>
      <c r="D47" s="124" t="str">
        <f>VLOOKUP(C47,Auswertung!$D$15:$F$1452,3,0)</f>
        <v>München</v>
      </c>
      <c r="E47" s="125">
        <f>VLOOKUP(C47,Auswertung!$D$15:$W$1452,20,0)</f>
        <v>35</v>
      </c>
      <c r="F47" s="39">
        <v>9</v>
      </c>
      <c r="G47" s="123" t="str">
        <f>VLOOKUP(F47,Spieltag!$R$2:$AB$1562,11,0)</f>
        <v>Harry Kane (A)</v>
      </c>
      <c r="H47" s="124" t="str">
        <f>VLOOKUP(G47,Auswertung!$D$15:$F$1452,3,0)</f>
        <v>München</v>
      </c>
      <c r="I47" s="125">
        <f>VLOOKUP(G47,Auswertung!$D$15:$W$1452,20,0)</f>
        <v>35</v>
      </c>
      <c r="J47" s="38">
        <v>9</v>
      </c>
      <c r="K47" s="123" t="str">
        <f>VLOOKUP(J47,Spieltag!$S$2:$AB$1562,10,0)</f>
        <v>Harry Kane (A)</v>
      </c>
      <c r="L47" s="124" t="str">
        <f>VLOOKUP(K47,Auswertung!$D$15:$F$1452,3,0)</f>
        <v>München</v>
      </c>
      <c r="M47" s="125">
        <f>VLOOKUP(K47,Auswertung!$D$15:$W$1452,20,0)</f>
        <v>35</v>
      </c>
    </row>
    <row r="48" spans="1:13" ht="11.25" customHeight="1" x14ac:dyDescent="0.2">
      <c r="A48" s="46"/>
      <c r="B48" s="42">
        <v>10</v>
      </c>
      <c r="C48" s="123" t="str">
        <f>VLOOKUP(B48,Spieltag!$Q$2:$AB$1562,12,0)</f>
        <v>Niclas Füllkrug</v>
      </c>
      <c r="D48" s="124" t="str">
        <f>VLOOKUP(C48,Auswertung!$D$15:$F$1452,3,0)</f>
        <v>Dortmund</v>
      </c>
      <c r="E48" s="125">
        <f>VLOOKUP(C48,Auswertung!$D$15:$W$1452,20,0)</f>
        <v>20</v>
      </c>
      <c r="F48" s="42">
        <v>10</v>
      </c>
      <c r="G48" s="123" t="str">
        <f>VLOOKUP(F48,Spieltag!$R$2:$AB$1562,11,0)</f>
        <v>Leroy Sané</v>
      </c>
      <c r="H48" s="124" t="str">
        <f>VLOOKUP(G48,Auswertung!$D$15:$F$1452,3,0)</f>
        <v>München</v>
      </c>
      <c r="I48" s="125">
        <f>VLOOKUP(G48,Auswertung!$D$15:$W$1452,20,0)</f>
        <v>45</v>
      </c>
      <c r="J48" s="27">
        <v>10</v>
      </c>
      <c r="K48" s="123" t="str">
        <f>VLOOKUP(J48,Spieltag!$S$2:$AB$1562,10,0)</f>
        <v>Niclas Füllkrug</v>
      </c>
      <c r="L48" s="124" t="str">
        <f>VLOOKUP(K48,Auswertung!$D$15:$F$1452,3,0)</f>
        <v>Dortmund</v>
      </c>
      <c r="M48" s="125">
        <f>VLOOKUP(K48,Auswertung!$D$15:$W$1452,20,0)</f>
        <v>20</v>
      </c>
    </row>
    <row r="49" spans="1:13" ht="11.25" customHeight="1" thickBot="1" x14ac:dyDescent="0.25">
      <c r="A49" s="46"/>
      <c r="B49" s="42">
        <v>11</v>
      </c>
      <c r="C49" s="123" t="str">
        <f>VLOOKUP(B49,Spieltag!$Q$2:$AB$1562,12,0)</f>
        <v>Donyell Malen (A)</v>
      </c>
      <c r="D49" s="124" t="str">
        <f>VLOOKUP(C49,Auswertung!$D$15:$F$1452,3,0)</f>
        <v>Dortmund</v>
      </c>
      <c r="E49" s="125">
        <f>VLOOKUP(C49,Auswertung!$D$15:$W$1452,20,0)</f>
        <v>0</v>
      </c>
      <c r="F49" s="42">
        <v>11</v>
      </c>
      <c r="G49" s="123" t="str">
        <f>VLOOKUP(F49,Spieltag!$R$2:$AB$1562,11,0)</f>
        <v>Niclas Füllkrug</v>
      </c>
      <c r="H49" s="124" t="str">
        <f>VLOOKUP(G49,Auswertung!$D$15:$F$1452,3,0)</f>
        <v>Dortmund</v>
      </c>
      <c r="I49" s="125">
        <f>VLOOKUP(G49,Auswertung!$D$15:$W$1452,20,0)</f>
        <v>20</v>
      </c>
      <c r="J49" s="27">
        <v>11</v>
      </c>
      <c r="K49" s="123" t="str">
        <f>VLOOKUP(J49,Spieltag!$S$2:$AB$1562,10,0)</f>
        <v>Victor Boniface (A)</v>
      </c>
      <c r="L49" s="124" t="str">
        <f>VLOOKUP(K49,Auswertung!$D$15:$F$1452,3,0)</f>
        <v>Leverkusen</v>
      </c>
      <c r="M49" s="125">
        <f>VLOOKUP(K49,Auswertung!$D$15:$W$1452,20,0)</f>
        <v>30</v>
      </c>
    </row>
    <row r="50" spans="1:13" ht="11.25" customHeight="1" thickBot="1" x14ac:dyDescent="0.25">
      <c r="C50" s="48"/>
      <c r="D50" s="28"/>
      <c r="E50" s="52">
        <f>SUM(E39:E49)</f>
        <v>185</v>
      </c>
      <c r="G50" s="48"/>
      <c r="I50" s="52">
        <f>SUM(I39:I49)</f>
        <v>295</v>
      </c>
      <c r="K50" s="208"/>
      <c r="L50" s="208"/>
      <c r="M50" s="52">
        <f>SUM(M39:M49)</f>
        <v>385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Union Berlin</v>
      </c>
      <c r="E5" s="82">
        <f>IF(('[1]13. Spieltag'!D5=""),"",('[1]13. Spieltag'!D5))</f>
        <v>4</v>
      </c>
      <c r="F5" s="83">
        <f>IF(('[1]13. Spieltag'!E5=""),"",('[1]13.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IF(('[1]13. Spieltag'!H5=""),"",('[1]13. Spieltag'!H5))</f>
        <v>4</v>
      </c>
      <c r="J5" s="83">
        <f>IF(('[1]13. Spieltag'!I5=""),"",('[1]13.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IF(('[1]13. Spieltag'!L5=""),"",('[1]13. Spieltag'!L5))</f>
        <v>4</v>
      </c>
      <c r="N5" s="83">
        <f>IF(('[1]13. Spieltag'!M5=""),"",('[1]13. Spieltag'!M5))</f>
        <v>1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IF(('[1]13. Spieltag'!P5=""),"",('[1]13. Spieltag'!P5))</f>
        <v>4</v>
      </c>
      <c r="R5" s="83">
        <f>IF(('[1]13. Spieltag'!Q5=""),"",('[1]13.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IF(('[1]13. Spieltag'!T5=""),"",('[1]13. Spieltag'!T5))</f>
        <v>4</v>
      </c>
      <c r="V5" s="83">
        <f>IF(('[1]13. Spieltag'!U5=""),"",('[1]13.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Heidenheim</v>
      </c>
      <c r="E6" s="82">
        <f>IF(('[1]13. Spieltag'!D6=""),"",('[1]13. Spieltag'!D6))</f>
        <v>3</v>
      </c>
      <c r="F6" s="83">
        <f>IF(('[1]13. Spieltag'!E6=""),"",('[1]13.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IF(('[1]13. Spieltag'!H6=""),"",('[1]13. Spieltag'!H6))</f>
        <v>3</v>
      </c>
      <c r="J6" s="83">
        <f>IF(('[1]13. Spieltag'!I6=""),"",('[1]13.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IF(('[1]13. Spieltag'!L6=""),"",('[1]13. Spieltag'!L6))</f>
        <v>3</v>
      </c>
      <c r="N6" s="83">
        <f>IF(('[1]13. Spieltag'!M6=""),"",('[1]13.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IF(('[1]13. Spieltag'!P6=""),"",('[1]13. Spieltag'!P6))</f>
        <v>3</v>
      </c>
      <c r="R6" s="83">
        <f>IF(('[1]13. Spieltag'!Q6=""),"",('[1]13.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IF(('[1]13. Spieltag'!T6=""),"",('[1]13. Spieltag'!T6))</f>
        <v>3</v>
      </c>
      <c r="V6" s="83">
        <f>IF(('[1]13. Spieltag'!U6=""),"",('[1]13.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Leverkusen</v>
      </c>
      <c r="C7" s="87" t="str">
        <f>Auswertung!$E$3</f>
        <v>Dortmund</v>
      </c>
      <c r="E7" s="82">
        <f>IF(('[1]13. Spieltag'!D7=""),"",('[1]13. Spieltag'!D7))</f>
        <v>2</v>
      </c>
      <c r="F7" s="83">
        <f>IF(('[1]13. Spieltag'!E7=""),"",('[1]13.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40</v>
      </c>
      <c r="I7" s="82">
        <f>IF(('[1]13. Spieltag'!H7=""),"",('[1]13. Spieltag'!H7))</f>
        <v>2</v>
      </c>
      <c r="J7" s="83">
        <f>IF(('[1]13. Spieltag'!I7=""),"",('[1]13.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IF(('[1]13. Spieltag'!L7=""),"",('[1]13. Spieltag'!L7))</f>
        <v>2</v>
      </c>
      <c r="N7" s="83">
        <f>IF(('[1]13. Spieltag'!M7=""),"",('[1]13. Spieltag'!M7))</f>
        <v>2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40</v>
      </c>
      <c r="Q7" s="82">
        <f>IF(('[1]13. Spieltag'!P7=""),"",('[1]13. Spieltag'!P7))</f>
        <v>2</v>
      </c>
      <c r="R7" s="83">
        <f>IF(('[1]13. Spieltag'!Q7=""),"",('[1]13.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40</v>
      </c>
      <c r="U7" s="82">
        <f>IF(('[1]13. Spieltag'!T7=""),"",('[1]13. Spieltag'!T7))</f>
        <v>3</v>
      </c>
      <c r="V7" s="83">
        <f>IF(('[1]13. Spieltag'!U7=""),"",('[1]13.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Mainz</v>
      </c>
      <c r="C8" s="87" t="str">
        <f>Auswertung!$E$4</f>
        <v>Freiburg</v>
      </c>
      <c r="E8" s="82">
        <f>IF(('[1]13. Spieltag'!D8=""),"",('[1]13. Spieltag'!D8))</f>
        <v>1</v>
      </c>
      <c r="F8" s="83">
        <f>IF(('[1]13. Spieltag'!E8=""),"",('[1]13.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IF(('[1]13. Spieltag'!H8=""),"",('[1]13. Spieltag'!H8))</f>
        <v>1</v>
      </c>
      <c r="J8" s="83">
        <f>IF(('[1]13. Spieltag'!I8=""),"",('[1]13.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IF(('[1]13. Spieltag'!L8=""),"",('[1]13. Spieltag'!L8))</f>
        <v>1</v>
      </c>
      <c r="N8" s="83">
        <f>IF(('[1]13. Spieltag'!M8=""),"",('[1]13.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IF(('[1]13. Spieltag'!P8=""),"",('[1]13. Spieltag'!P8))</f>
        <v>1</v>
      </c>
      <c r="R8" s="83">
        <f>IF(('[1]13. Spieltag'!Q8=""),"",('[1]13.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IF(('[1]13. Spieltag'!T8=""),"",('[1]13. Spieltag'!T8))</f>
        <v>2</v>
      </c>
      <c r="V8" s="83">
        <f>IF(('[1]13. Spieltag'!U8=""),"",('[1]13.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M'gladbach</v>
      </c>
      <c r="C9" s="87" t="str">
        <f>Auswertung!$E$5</f>
        <v>Hoffenheim</v>
      </c>
      <c r="E9" s="82">
        <f>IF(('[1]13. Spieltag'!D9=""),"",('[1]13. Spieltag'!D9))</f>
        <v>1</v>
      </c>
      <c r="F9" s="83">
        <f>IF(('[1]13. Spieltag'!E9=""),"",('[1]13. Spieltag'!E9))</f>
        <v>2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IF(('[1]13. Spieltag'!H9=""),"",('[1]13. Spieltag'!H9))</f>
        <v>2</v>
      </c>
      <c r="J9" s="83">
        <f>IF(('[1]13. Spieltag'!I9=""),"",('[1]13.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60</v>
      </c>
      <c r="M9" s="82">
        <f>IF(('[1]13. Spieltag'!L9=""),"",('[1]13. Spieltag'!L9))</f>
        <v>2</v>
      </c>
      <c r="N9" s="83">
        <f>IF(('[1]13. Spieltag'!M9=""),"",('[1]13.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60</v>
      </c>
      <c r="Q9" s="82">
        <f>IF(('[1]13. Spieltag'!P9=""),"",('[1]13. Spieltag'!P9))</f>
        <v>1</v>
      </c>
      <c r="R9" s="83">
        <f>IF(('[1]13. Spieltag'!Q9=""),"",('[1]13.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IF(('[1]13. Spieltag'!T9=""),"",('[1]13. Spieltag'!T9))</f>
        <v>2</v>
      </c>
      <c r="V9" s="83">
        <f>IF(('[1]13. Spieltag'!U9=""),"",('[1]13.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60</v>
      </c>
    </row>
    <row r="10" spans="1:30" ht="11.25" customHeight="1" x14ac:dyDescent="0.2">
      <c r="A10" s="85"/>
      <c r="B10" s="86" t="str">
        <f>Auswertung!$D$6</f>
        <v>Bochum</v>
      </c>
      <c r="C10" s="87" t="str">
        <f>Auswertung!$E$6</f>
        <v>Wolfsburg</v>
      </c>
      <c r="E10" s="82">
        <f>IF(('[1]13. Spieltag'!D10=""),"",('[1]13. Spieltag'!D10))</f>
        <v>1</v>
      </c>
      <c r="F10" s="83">
        <f>IF(('[1]13. Spieltag'!E10=""),"",('[1]13. Spieltag'!E10))</f>
        <v>3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IF(('[1]13. Spieltag'!H10=""),"",('[1]13. Spieltag'!H10))</f>
        <v>1</v>
      </c>
      <c r="J10" s="83">
        <f>IF(('[1]13. Spieltag'!I10=""),"",('[1]13.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IF(('[1]13. Spieltag'!L10=""),"",('[1]13. Spieltag'!L10))</f>
        <v>1</v>
      </c>
      <c r="N10" s="83">
        <f>IF(('[1]13. Spieltag'!M10=""),"",('[1]13.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IF(('[1]13. Spieltag'!P10=""),"",('[1]13. Spieltag'!P10))</f>
        <v>1</v>
      </c>
      <c r="R10" s="83">
        <f>IF(('[1]13. Spieltag'!Q10=""),"",('[1]13. Spieltag'!Q10))</f>
        <v>3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IF(('[1]13. Spieltag'!T10=""),"",('[1]13. Spieltag'!T10))</f>
        <v>1</v>
      </c>
      <c r="V10" s="83">
        <f>IF(('[1]13. Spieltag'!U10=""),"",('[1]13.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Augsburg</v>
      </c>
      <c r="C11" s="87" t="str">
        <f>Auswertung!$E$7</f>
        <v>Frankfurt</v>
      </c>
      <c r="E11" s="82">
        <f>IF(('[1]13. Spieltag'!D11=""),"",('[1]13. Spieltag'!D11))</f>
        <v>1</v>
      </c>
      <c r="F11" s="83">
        <f>IF(('[1]13. Spieltag'!E11=""),"",('[1]13.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IF(('[1]13. Spieltag'!H11=""),"",('[1]13. Spieltag'!H11))</f>
        <v>1</v>
      </c>
      <c r="J11" s="83">
        <f>IF(('[1]13. Spieltag'!I11=""),"",('[1]13.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IF(('[1]13. Spieltag'!L11=""),"",('[1]13. Spieltag'!L11))</f>
        <v>1</v>
      </c>
      <c r="N11" s="83">
        <f>IF(('[1]13. Spieltag'!M11=""),"",('[1]13.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IF(('[1]13. Spieltag'!P11=""),"",('[1]13. Spieltag'!P11))</f>
        <v>1</v>
      </c>
      <c r="R11" s="83">
        <f>IF(('[1]13. Spieltag'!Q11=""),"",('[1]13. Spieltag'!Q11))</f>
        <v>2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IF(('[1]13. Spieltag'!T11=""),"",('[1]13. Spieltag'!T11))</f>
        <v>1</v>
      </c>
      <c r="V11" s="83">
        <f>IF(('[1]13. Spieltag'!U11=""),"",('[1]13. Spieltag'!U11))</f>
        <v>2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Stuttgart</v>
      </c>
      <c r="C12" s="87" t="str">
        <f>Auswertung!$E$8</f>
        <v>Bremen</v>
      </c>
      <c r="E12" s="82">
        <f>IF(('[1]13. Spieltag'!D12=""),"",('[1]13. Spieltag'!D12))</f>
        <v>3</v>
      </c>
      <c r="F12" s="83">
        <f>IF(('[1]13. Spieltag'!E12=""),"",('[1]13.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40</v>
      </c>
      <c r="I12" s="82">
        <f>IF(('[1]13. Spieltag'!H12=""),"",('[1]13. Spieltag'!H12))</f>
        <v>2</v>
      </c>
      <c r="J12" s="83">
        <f>IF(('[1]13. Spieltag'!I12=""),"",('[1]13.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20</v>
      </c>
      <c r="M12" s="82">
        <f>IF(('[1]13. Spieltag'!L12=""),"",('[1]13. Spieltag'!L12))</f>
        <v>2</v>
      </c>
      <c r="N12" s="83">
        <f>IF(('[1]13. Spieltag'!M12=""),"",('[1]13.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20</v>
      </c>
      <c r="Q12" s="82">
        <f>IF(('[1]13. Spieltag'!P12=""),"",('[1]13. Spieltag'!P12))</f>
        <v>3</v>
      </c>
      <c r="R12" s="83">
        <f>IF(('[1]13. Spieltag'!Q12=""),"",('[1]13.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40</v>
      </c>
      <c r="U12" s="82">
        <f>IF(('[1]13. Spieltag'!T12=""),"",('[1]13. Spieltag'!T12))</f>
        <v>3</v>
      </c>
      <c r="V12" s="83">
        <f>IF(('[1]13. Spieltag'!U12=""),"",('[1]13.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40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Köln</v>
      </c>
      <c r="E13" s="82">
        <f>IF(('[1]13. Spieltag'!D13=""),"",('[1]13. Spieltag'!D13))</f>
        <v>1</v>
      </c>
      <c r="F13" s="83">
        <f>IF(('[1]13. Spieltag'!E13=""),"",('[1]13.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40</v>
      </c>
      <c r="I13" s="82">
        <f>IF(('[1]13. Spieltag'!H13=""),"",('[1]13. Spieltag'!H13))</f>
        <v>0</v>
      </c>
      <c r="J13" s="83">
        <f>IF(('[1]13. Spieltag'!I13=""),"",('[1]13. Spieltag'!I13))</f>
        <v>0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IF(('[1]13. Spieltag'!L13=""),"",('[1]13. Spieltag'!L13))</f>
        <v>1</v>
      </c>
      <c r="N13" s="83">
        <f>IF(('[1]13. Spieltag'!M13=""),"",('[1]13.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IF(('[1]13. Spieltag'!P13=""),"",('[1]13. Spieltag'!P13))</f>
        <v>1</v>
      </c>
      <c r="R13" s="83">
        <f>IF(('[1]13. Spieltag'!Q13=""),"",('[1]13.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40</v>
      </c>
      <c r="U13" s="82">
        <f>IF(('[1]13. Spieltag'!T13=""),"",('[1]13. Spieltag'!T13))</f>
        <v>1</v>
      </c>
      <c r="V13" s="83">
        <f>IF(('[1]13. Spieltag'!U13=""),"",('[1]13.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160</v>
      </c>
      <c r="K14" s="47">
        <f>SUM(K5:K13)</f>
        <v>120</v>
      </c>
      <c r="O14" s="47">
        <f>SUM(O5:O13)</f>
        <v>160</v>
      </c>
      <c r="S14" s="47">
        <f>SUM(S5:S13)</f>
        <v>160</v>
      </c>
      <c r="W14" s="47">
        <f>SUM(W5:W13)</f>
        <v>140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Union Berlin</v>
      </c>
      <c r="E20" s="82">
        <f>IF(('[1]13. Spieltag'!D20=""),"",('[1]13. Spieltag'!D20))</f>
        <v>4</v>
      </c>
      <c r="F20" s="83">
        <f>IF(('[1]13. Spieltag'!E20=""),"",('[1]13.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IF(('[1]13. Spieltag'!H20=""),"",('[1]13. Spieltag'!H20))</f>
        <v>2</v>
      </c>
      <c r="J20" s="83">
        <f>IF(('[1]13. Spieltag'!I20=""),"",('[1]13. Spieltag'!I20))</f>
        <v>1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40</v>
      </c>
      <c r="M20" s="82">
        <f>IF(('[1]13. Spieltag'!L20=""),"",('[1]13. Spieltag'!L20))</f>
        <v>2</v>
      </c>
      <c r="N20" s="83">
        <f>IF(('[1]13. Spieltag'!M20=""),"",('[1]13. Spieltag'!M20))</f>
        <v>1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40</v>
      </c>
      <c r="Q20" s="82">
        <f>IF(('[1]13. Spieltag'!P20=""),"",('[1]13. Spieltag'!P20))</f>
        <v>4</v>
      </c>
      <c r="R20" s="83">
        <f>IF(('[1]13. Spieltag'!Q20=""),"",('[1]13.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Heidenheim</v>
      </c>
      <c r="E21" s="82">
        <f>IF(('[1]13. Spieltag'!D21=""),"",('[1]13. Spieltag'!D21))</f>
        <v>3</v>
      </c>
      <c r="F21" s="83">
        <f>IF(('[1]13. Spieltag'!E21=""),"",('[1]13.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IF(('[1]13. Spieltag'!H21=""),"",('[1]13. Spieltag'!H21))</f>
        <v>2</v>
      </c>
      <c r="J21" s="83">
        <f>IF(('[1]13. Spieltag'!I21=""),"",('[1]13. Spieltag'!I21))</f>
        <v>0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IF(('[1]13. Spieltag'!L21=""),"",('[1]13. Spieltag'!L21))</f>
        <v>2</v>
      </c>
      <c r="N21" s="83">
        <f>IF(('[1]13. Spieltag'!M21=""),"",('[1]13. Spieltag'!M21))</f>
        <v>0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IF(('[1]13. Spieltag'!P21=""),"",('[1]13. Spieltag'!P21))</f>
        <v>3</v>
      </c>
      <c r="R21" s="83">
        <f>IF(('[1]13. Spieltag'!Q21=""),"",('[1]13.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Leverkusen</v>
      </c>
      <c r="C22" s="87" t="str">
        <f>Auswertung!$E$3</f>
        <v>Dortmund</v>
      </c>
      <c r="E22" s="82">
        <f>IF(('[1]13. Spieltag'!D22=""),"",('[1]13. Spieltag'!D22))</f>
        <v>3</v>
      </c>
      <c r="F22" s="83">
        <f>IF(('[1]13. Spieltag'!E22=""),"",('[1]13.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IF(('[1]13. Spieltag'!H22=""),"",('[1]13. Spieltag'!H22))</f>
        <v>3</v>
      </c>
      <c r="J22" s="83">
        <f>IF(('[1]13. Spieltag'!I22=""),"",('[1]13.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IF(('[1]13. Spieltag'!L22=""),"",('[1]13. Spieltag'!L22))</f>
        <v>2</v>
      </c>
      <c r="N22" s="83">
        <f>IF(('[1]13. Spieltag'!M22=""),"",('[1]13.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IF(('[1]13. Spieltag'!P22=""),"",('[1]13. Spieltag'!P22))</f>
        <v>2</v>
      </c>
      <c r="R22" s="83">
        <f>IF(('[1]13. Spieltag'!Q22=""),"",('[1]13.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Mainz</v>
      </c>
      <c r="C23" s="87" t="str">
        <f>Auswertung!$E$4</f>
        <v>Freiburg</v>
      </c>
      <c r="E23" s="82">
        <f>IF(('[1]13. Spieltag'!D23=""),"",('[1]13. Spieltag'!D23))</f>
        <v>2</v>
      </c>
      <c r="F23" s="83">
        <f>IF(('[1]13. Spieltag'!E23=""),"",('[1]13.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IF(('[1]13. Spieltag'!H23=""),"",('[1]13. Spieltag'!H23))</f>
        <v>1</v>
      </c>
      <c r="J23" s="83">
        <f>IF(('[1]13. Spieltag'!I23=""),"",('[1]13.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40</v>
      </c>
      <c r="M23" s="82">
        <f>IF(('[1]13. Spieltag'!L23=""),"",('[1]13. Spieltag'!L23))</f>
        <v>1</v>
      </c>
      <c r="N23" s="83">
        <f>IF(('[1]13. Spieltag'!M23=""),"",('[1]13. Spieltag'!M23))</f>
        <v>2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40</v>
      </c>
      <c r="Q23" s="82">
        <f>IF(('[1]13. Spieltag'!P23=""),"",('[1]13. Spieltag'!P23))</f>
        <v>1</v>
      </c>
      <c r="R23" s="83">
        <f>IF(('[1]13. Spieltag'!Q23=""),"",('[1]13.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M'gladbach</v>
      </c>
      <c r="C24" s="87" t="str">
        <f>Auswertung!$E$5</f>
        <v>Hoffenheim</v>
      </c>
      <c r="E24" s="82">
        <f>IF(('[1]13. Spieltag'!D24=""),"",('[1]13. Spieltag'!D24))</f>
        <v>2</v>
      </c>
      <c r="F24" s="83">
        <f>IF(('[1]13. Spieltag'!E24=""),"",('[1]13.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60</v>
      </c>
      <c r="I24" s="82">
        <f>IF(('[1]13. Spieltag'!H24=""),"",('[1]13. Spieltag'!H24))</f>
        <v>2</v>
      </c>
      <c r="J24" s="83">
        <f>IF(('[1]13. Spieltag'!I24=""),"",('[1]13.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60</v>
      </c>
      <c r="M24" s="82">
        <f>IF(('[1]13. Spieltag'!L24=""),"",('[1]13. Spieltag'!L24))</f>
        <v>1</v>
      </c>
      <c r="N24" s="83">
        <f>IF(('[1]13. Spieltag'!M24=""),"",('[1]13.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IF(('[1]13. Spieltag'!P24=""),"",('[1]13. Spieltag'!P24))</f>
        <v>2</v>
      </c>
      <c r="R24" s="83">
        <f>IF(('[1]13. Spieltag'!Q24=""),"",('[1]13.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60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Bochum</v>
      </c>
      <c r="C25" s="87" t="str">
        <f>Auswertung!$E$6</f>
        <v>Wolfsburg</v>
      </c>
      <c r="E25" s="82">
        <f>IF(('[1]13. Spieltag'!D25=""),"",('[1]13. Spieltag'!D25))</f>
        <v>1</v>
      </c>
      <c r="F25" s="83">
        <f>IF(('[1]13. Spieltag'!E25=""),"",('[1]13.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IF(('[1]13. Spieltag'!H25=""),"",('[1]13. Spieltag'!H25))</f>
        <v>1</v>
      </c>
      <c r="J25" s="83">
        <f>IF(('[1]13. Spieltag'!I25=""),"",('[1]13.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IF(('[1]13. Spieltag'!L25=""),"",('[1]13. Spieltag'!L25))</f>
        <v>1</v>
      </c>
      <c r="N25" s="83">
        <f>IF(('[1]13. Spieltag'!M25=""),"",('[1]13.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IF(('[1]13. Spieltag'!P25=""),"",('[1]13. Spieltag'!P25))</f>
        <v>1</v>
      </c>
      <c r="R25" s="83">
        <f>IF(('[1]13. Spieltag'!Q25=""),"",('[1]13.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Augsburg</v>
      </c>
      <c r="C26" s="87" t="str">
        <f>Auswertung!$E$7</f>
        <v>Frankfurt</v>
      </c>
      <c r="E26" s="82">
        <f>IF(('[1]13. Spieltag'!D26=""),"",('[1]13. Spieltag'!D26))</f>
        <v>1</v>
      </c>
      <c r="F26" s="83">
        <f>IF(('[1]13. Spieltag'!E26=""),"",('[1]13. Spieltag'!E26))</f>
        <v>2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IF(('[1]13. Spieltag'!H26=""),"",('[1]13. Spieltag'!H26))</f>
        <v>1</v>
      </c>
      <c r="J26" s="83">
        <f>IF(('[1]13. Spieltag'!I26=""),"",('[1]13.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IF(('[1]13. Spieltag'!L26=""),"",('[1]13. Spieltag'!L26))</f>
        <v>1</v>
      </c>
      <c r="N26" s="83">
        <f>IF(('[1]13. Spieltag'!M26=""),"",('[1]13.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IF(('[1]13. Spieltag'!P26=""),"",('[1]13. Spieltag'!P26))</f>
        <v>1</v>
      </c>
      <c r="R26" s="83">
        <f>IF(('[1]13. Spieltag'!Q26=""),"",('[1]13.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Stuttgart</v>
      </c>
      <c r="C27" s="87" t="str">
        <f>Auswertung!$E$8</f>
        <v>Bremen</v>
      </c>
      <c r="E27" s="82">
        <f>IF(('[1]13. Spieltag'!D27=""),"",('[1]13. Spieltag'!D27))</f>
        <v>3</v>
      </c>
      <c r="F27" s="83">
        <f>IF(('[1]13. Spieltag'!E27=""),"",('[1]13.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40</v>
      </c>
      <c r="I27" s="82">
        <f>IF(('[1]13. Spieltag'!H27=""),"",('[1]13. Spieltag'!H27))</f>
        <v>1</v>
      </c>
      <c r="J27" s="83">
        <f>IF(('[1]13. Spieltag'!I27=""),"",('[1]13.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IF(('[1]13. Spieltag'!L27=""),"",('[1]13. Spieltag'!L27))</f>
        <v>1</v>
      </c>
      <c r="N27" s="83">
        <f>IF(('[1]13. Spieltag'!M27=""),"",('[1]13.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IF(('[1]13. Spieltag'!P27=""),"",('[1]13. Spieltag'!P27))</f>
        <v>2</v>
      </c>
      <c r="R27" s="83">
        <f>IF(('[1]13. Spieltag'!Q27=""),"",('[1]13.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20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Köln</v>
      </c>
      <c r="E28" s="82">
        <f>IF(('[1]13. Spieltag'!D28=""),"",('[1]13. Spieltag'!D28))</f>
        <v>1</v>
      </c>
      <c r="F28" s="83">
        <f>IF(('[1]13. Spieltag'!E28=""),"",('[1]13.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IF(('[1]13. Spieltag'!H28=""),"",('[1]13. Spieltag'!H28))</f>
        <v>1</v>
      </c>
      <c r="J28" s="83">
        <f>IF(('[1]13. Spieltag'!I28=""),"",('[1]13.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IF(('[1]13. Spieltag'!L28=""),"",('[1]13. Spieltag'!L28))</f>
        <v>1</v>
      </c>
      <c r="N28" s="83">
        <f>IF(('[1]13. Spieltag'!M28=""),"",('[1]13.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IF(('[1]13. Spieltag'!P28=""),"",('[1]13. Spieltag'!P28))</f>
        <v>0</v>
      </c>
      <c r="R28" s="83">
        <f>IF(('[1]13. Spieltag'!Q28=""),"",('[1]13.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140</v>
      </c>
      <c r="K29" s="47">
        <f>SUM(K20:K28)</f>
        <v>160</v>
      </c>
      <c r="O29" s="47">
        <f>SUM(O20:O28)</f>
        <v>140</v>
      </c>
      <c r="S29" s="47">
        <f>SUM(S20:S28)</f>
        <v>120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160</v>
      </c>
      <c r="C4" s="101">
        <f>Mannschaftstipps!$E$16</f>
        <v>360</v>
      </c>
      <c r="D4" s="101">
        <f>C4+B4</f>
        <v>520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120</v>
      </c>
      <c r="C5" s="107">
        <f>Mannschaftstipps!$I$16</f>
        <v>390</v>
      </c>
      <c r="D5" s="107">
        <f>C5+B5</f>
        <v>510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160</v>
      </c>
      <c r="C6" s="110">
        <f>Mannschaftstipps!$M$16</f>
        <v>360</v>
      </c>
      <c r="D6" s="110">
        <f>C6+B6</f>
        <v>520</v>
      </c>
      <c r="E6" s="111">
        <f t="shared" si="0"/>
        <v>50</v>
      </c>
    </row>
    <row r="7" spans="1:5" x14ac:dyDescent="0.2">
      <c r="A7" s="106" t="s">
        <v>51</v>
      </c>
      <c r="B7" s="107">
        <f>Ergebnistipps!$S$14</f>
        <v>160</v>
      </c>
      <c r="C7" s="107">
        <f>Mannschaftstipps!$E$33</f>
        <v>210</v>
      </c>
      <c r="D7" s="107">
        <f t="shared" ref="D7:D12" si="1">C7+B7</f>
        <v>370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140</v>
      </c>
      <c r="C8" s="110">
        <f>Mannschaftstipps!$I$33</f>
        <v>165</v>
      </c>
      <c r="D8" s="110">
        <f t="shared" si="1"/>
        <v>305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140</v>
      </c>
      <c r="C9" s="107">
        <f>Mannschaftstipps!$M$33</f>
        <v>270</v>
      </c>
      <c r="D9" s="107">
        <f t="shared" si="1"/>
        <v>410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185</v>
      </c>
      <c r="D10" s="110">
        <f t="shared" si="1"/>
        <v>345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140</v>
      </c>
      <c r="C11" s="107">
        <f>Mannschaftstipps!$I$50</f>
        <v>295</v>
      </c>
      <c r="D11" s="107">
        <f t="shared" si="1"/>
        <v>435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120</v>
      </c>
      <c r="C12" s="110">
        <f>Mannschaftstipps!$M$50</f>
        <v>385</v>
      </c>
      <c r="D12" s="110">
        <f t="shared" si="1"/>
        <v>505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520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2023-12-01T06:57:01Z</cp:lastPrinted>
  <dcterms:created xsi:type="dcterms:W3CDTF">1999-07-16T21:37:12Z</dcterms:created>
  <dcterms:modified xsi:type="dcterms:W3CDTF">2024-01-25T05:56:56Z</dcterms:modified>
</cp:coreProperties>
</file>