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989BD409-8BA6-462F-AB02-60E42939F7D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50" i="6" l="1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V67" i="6"/>
  <c r="U67" i="6"/>
  <c r="S67" i="6"/>
  <c r="N67" i="6"/>
  <c r="L67" i="6"/>
  <c r="J67" i="6"/>
  <c r="H67" i="6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V32" i="6"/>
  <c r="U32" i="6"/>
  <c r="S32" i="6"/>
  <c r="N32" i="6"/>
  <c r="L32" i="6"/>
  <c r="J32" i="6"/>
  <c r="H32" i="6"/>
  <c r="W32" i="6" s="1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V242" i="6"/>
  <c r="U242" i="6"/>
  <c r="S242" i="6"/>
  <c r="N242" i="6"/>
  <c r="L242" i="6"/>
  <c r="J242" i="6"/>
  <c r="H242" i="6"/>
  <c r="E242" i="6"/>
  <c r="D242" i="6"/>
  <c r="C242" i="6"/>
  <c r="B242" i="6"/>
  <c r="AB229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V35" i="6"/>
  <c r="U35" i="6"/>
  <c r="S35" i="6"/>
  <c r="N35" i="6"/>
  <c r="L35" i="6"/>
  <c r="J35" i="6"/>
  <c r="H35" i="6"/>
  <c r="W35" i="6" s="1"/>
  <c r="E35" i="6"/>
  <c r="D35" i="6"/>
  <c r="C35" i="6"/>
  <c r="B35" i="6"/>
  <c r="AB22" i="41"/>
  <c r="L37" i="8"/>
  <c r="H37" i="8"/>
  <c r="D37" i="8"/>
  <c r="L20" i="8"/>
  <c r="H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W185" i="6" s="1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5" i="6"/>
  <c r="U175" i="6"/>
  <c r="S175" i="6"/>
  <c r="N175" i="6"/>
  <c r="L175" i="6"/>
  <c r="J175" i="6"/>
  <c r="H175" i="6"/>
  <c r="W175" i="6" s="1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V173" i="6"/>
  <c r="U173" i="6"/>
  <c r="S173" i="6"/>
  <c r="N173" i="6"/>
  <c r="L173" i="6"/>
  <c r="J173" i="6"/>
  <c r="H173" i="6"/>
  <c r="W173" i="6" s="1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V170" i="6"/>
  <c r="U170" i="6"/>
  <c r="S170" i="6"/>
  <c r="N170" i="6"/>
  <c r="L170" i="6"/>
  <c r="J170" i="6"/>
  <c r="H170" i="6"/>
  <c r="W170" i="6" s="1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V164" i="6"/>
  <c r="U164" i="6"/>
  <c r="S164" i="6"/>
  <c r="N164" i="6"/>
  <c r="L164" i="6"/>
  <c r="J164" i="6"/>
  <c r="H164" i="6"/>
  <c r="W164" i="6" s="1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V148" i="6"/>
  <c r="U148" i="6"/>
  <c r="S148" i="6"/>
  <c r="N148" i="6"/>
  <c r="L148" i="6"/>
  <c r="J148" i="6"/>
  <c r="H148" i="6"/>
  <c r="W148" i="6" s="1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V138" i="6"/>
  <c r="U138" i="6"/>
  <c r="S138" i="6"/>
  <c r="N138" i="6"/>
  <c r="L138" i="6"/>
  <c r="J138" i="6"/>
  <c r="H138" i="6"/>
  <c r="W138" i="6" s="1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V85" i="6"/>
  <c r="U85" i="6"/>
  <c r="S85" i="6"/>
  <c r="N85" i="6"/>
  <c r="L85" i="6"/>
  <c r="J85" i="6"/>
  <c r="H85" i="6"/>
  <c r="E85" i="6"/>
  <c r="D85" i="6"/>
  <c r="C85" i="6"/>
  <c r="B85" i="6"/>
  <c r="V83" i="6"/>
  <c r="U83" i="6"/>
  <c r="S83" i="6"/>
  <c r="N83" i="6"/>
  <c r="L83" i="6"/>
  <c r="J83" i="6"/>
  <c r="H83" i="6"/>
  <c r="E83" i="6"/>
  <c r="D83" i="6"/>
  <c r="C83" i="6"/>
  <c r="B83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W30" i="6"/>
  <c r="V30" i="6"/>
  <c r="U30" i="6"/>
  <c r="S30" i="6"/>
  <c r="N30" i="6"/>
  <c r="L30" i="6"/>
  <c r="J30" i="6"/>
  <c r="H30" i="6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J29" i="6"/>
  <c r="L29" i="6"/>
  <c r="N29" i="6"/>
  <c r="S29" i="6"/>
  <c r="U29" i="6"/>
  <c r="V29" i="6"/>
  <c r="W29" i="6"/>
  <c r="AB25" i="41"/>
  <c r="AB24" i="41"/>
  <c r="AB23" i="41"/>
  <c r="AB18" i="41"/>
  <c r="AB17" i="41"/>
  <c r="AB376" i="41" l="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V70" i="6" l="1"/>
  <c r="U70" i="6"/>
  <c r="S70" i="6"/>
  <c r="N70" i="6"/>
  <c r="L70" i="6"/>
  <c r="J70" i="6"/>
  <c r="H70" i="6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AB385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466" i="6" l="1"/>
  <c r="V466" i="6"/>
  <c r="U466" i="6"/>
  <c r="S466" i="6"/>
  <c r="N466" i="6"/>
  <c r="L466" i="6"/>
  <c r="J466" i="6"/>
  <c r="H466" i="6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E60" i="6"/>
  <c r="D60" i="6"/>
  <c r="C60" i="6"/>
  <c r="B60" i="6"/>
  <c r="V59" i="6"/>
  <c r="U59" i="6"/>
  <c r="S59" i="6"/>
  <c r="N59" i="6"/>
  <c r="L59" i="6"/>
  <c r="J59" i="6"/>
  <c r="H59" i="6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V52" i="6"/>
  <c r="U52" i="6"/>
  <c r="S52" i="6"/>
  <c r="N52" i="6"/>
  <c r="L52" i="6"/>
  <c r="J52" i="6"/>
  <c r="H52" i="6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W49" i="6"/>
  <c r="V49" i="6"/>
  <c r="U49" i="6"/>
  <c r="S49" i="6"/>
  <c r="N49" i="6"/>
  <c r="L49" i="6"/>
  <c r="J49" i="6"/>
  <c r="H49" i="6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9" i="6"/>
  <c r="U469" i="6"/>
  <c r="S469" i="6"/>
  <c r="N469" i="6"/>
  <c r="L469" i="6"/>
  <c r="J469" i="6"/>
  <c r="H469" i="6"/>
  <c r="W469" i="6" s="1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165" i="41" l="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V21" i="6" l="1"/>
  <c r="U21" i="6"/>
  <c r="S21" i="6"/>
  <c r="N21" i="6"/>
  <c r="L21" i="6"/>
  <c r="J21" i="6"/>
  <c r="H21" i="6"/>
  <c r="E21" i="6"/>
  <c r="D21" i="6"/>
  <c r="B21" i="6"/>
  <c r="W21" i="6" l="1"/>
  <c r="AB60" i="4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29" i="8" s="1"/>
  <c r="G10" i="8"/>
  <c r="K40" i="8"/>
  <c r="K46" i="8"/>
  <c r="W96" i="6"/>
  <c r="I10" i="6"/>
  <c r="W488" i="6"/>
  <c r="V488" i="6"/>
  <c r="U488" i="6"/>
  <c r="S488" i="6"/>
  <c r="N488" i="6"/>
  <c r="L488" i="6"/>
  <c r="J488" i="6"/>
  <c r="H488" i="6"/>
  <c r="E488" i="6"/>
  <c r="B488" i="6"/>
  <c r="B464" i="6" s="1"/>
  <c r="AB476" i="41"/>
  <c r="K14" i="8" s="1"/>
  <c r="V276" i="6"/>
  <c r="U276" i="6"/>
  <c r="S276" i="6"/>
  <c r="N276" i="6"/>
  <c r="L276" i="6"/>
  <c r="J276" i="6"/>
  <c r="H276" i="6"/>
  <c r="E276" i="6"/>
  <c r="B276" i="6"/>
  <c r="AB263" i="4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W188" i="6" s="1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W329" i="6"/>
  <c r="V329" i="6"/>
  <c r="U329" i="6"/>
  <c r="S329" i="6"/>
  <c r="N329" i="6"/>
  <c r="L329" i="6"/>
  <c r="J329" i="6"/>
  <c r="H329" i="6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130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K32" i="8" l="1"/>
  <c r="C25" i="8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347" i="6"/>
  <c r="W101" i="6"/>
  <c r="W35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Q370" i="6"/>
  <c r="Q362" i="6"/>
  <c r="P249" i="6"/>
  <c r="O249" i="6"/>
  <c r="P214" i="6"/>
  <c r="O214" i="6"/>
  <c r="Q199" i="6"/>
  <c r="Q198" i="6"/>
  <c r="P198" i="6"/>
  <c r="O198" i="6"/>
  <c r="P199" i="6"/>
  <c r="O199" i="6"/>
  <c r="P190" i="6"/>
  <c r="O190" i="6"/>
  <c r="Q191" i="6"/>
  <c r="Q190" i="6"/>
  <c r="P110" i="6"/>
  <c r="O110" i="6"/>
  <c r="P67" i="6"/>
  <c r="O67" i="6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W242" i="6" s="1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W85" i="6" s="1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W52" i="6" s="1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95" i="6" l="1"/>
  <c r="I26" i="8" s="1"/>
  <c r="W253" i="6"/>
  <c r="W83" i="6"/>
  <c r="M24" i="8" s="1"/>
  <c r="W82" i="6"/>
  <c r="W92" i="6"/>
  <c r="E27" i="8" s="1"/>
  <c r="W90" i="6"/>
  <c r="W299" i="6"/>
  <c r="W310" i="6"/>
  <c r="W47" i="6"/>
  <c r="W257" i="6"/>
  <c r="W70" i="6"/>
  <c r="W278" i="6"/>
  <c r="W98" i="6"/>
  <c r="W75" i="6"/>
  <c r="W67" i="6"/>
  <c r="W59" i="6"/>
  <c r="W243" i="6"/>
  <c r="W292" i="6"/>
  <c r="W236" i="6"/>
  <c r="W226" i="6"/>
  <c r="W60" i="6"/>
  <c r="W232" i="6"/>
  <c r="I42" i="8" s="1"/>
  <c r="W245" i="6"/>
  <c r="W296" i="6"/>
  <c r="W276" i="6"/>
  <c r="W66" i="6"/>
  <c r="W16" i="6"/>
  <c r="I44" i="8"/>
  <c r="W159" i="6"/>
  <c r="I8" i="8"/>
  <c r="M44" i="8"/>
  <c r="W74" i="6"/>
  <c r="S14" i="21"/>
  <c r="W378" i="6"/>
  <c r="W42" i="6"/>
  <c r="I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D20" i="8"/>
</calcChain>
</file>

<file path=xl/sharedStrings.xml><?xml version="1.0" encoding="utf-8"?>
<sst xmlns="http://schemas.openxmlformats.org/spreadsheetml/2006/main" count="3928" uniqueCount="662">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</sst>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München</v>
          </cell>
          <cell r="B5" t="str">
            <v>Stuttgart</v>
          </cell>
          <cell r="D5">
            <v>3</v>
          </cell>
          <cell r="E5">
            <v>1</v>
          </cell>
          <cell r="H5">
            <v>2</v>
          </cell>
          <cell r="I5">
            <v>0</v>
          </cell>
          <cell r="L5">
            <v>3</v>
          </cell>
          <cell r="M5">
            <v>1</v>
          </cell>
          <cell r="P5">
            <v>3</v>
          </cell>
          <cell r="Q5">
            <v>1</v>
          </cell>
          <cell r="T5">
            <v>3</v>
          </cell>
          <cell r="U5">
            <v>1</v>
          </cell>
        </row>
        <row r="6">
          <cell r="A6" t="str">
            <v>Leipzig</v>
          </cell>
          <cell r="B6" t="str">
            <v>Hoffenheim</v>
          </cell>
          <cell r="D6">
            <v>3</v>
          </cell>
          <cell r="E6">
            <v>1</v>
          </cell>
          <cell r="H6">
            <v>2</v>
          </cell>
          <cell r="I6">
            <v>0</v>
          </cell>
          <cell r="L6">
            <v>3</v>
          </cell>
          <cell r="M6">
            <v>1</v>
          </cell>
          <cell r="P6">
            <v>3</v>
          </cell>
          <cell r="Q6">
            <v>1</v>
          </cell>
          <cell r="T6">
            <v>3</v>
          </cell>
          <cell r="U6">
            <v>1</v>
          </cell>
        </row>
        <row r="7">
          <cell r="A7" t="str">
            <v>Freiburg</v>
          </cell>
          <cell r="B7" t="str">
            <v>Köln</v>
          </cell>
          <cell r="D7">
            <v>2</v>
          </cell>
          <cell r="E7">
            <v>2</v>
          </cell>
          <cell r="H7">
            <v>3</v>
          </cell>
          <cell r="I7">
            <v>1</v>
          </cell>
          <cell r="L7">
            <v>3</v>
          </cell>
          <cell r="M7">
            <v>1</v>
          </cell>
          <cell r="P7">
            <v>2</v>
          </cell>
          <cell r="Q7">
            <v>2</v>
          </cell>
          <cell r="T7">
            <v>3</v>
          </cell>
          <cell r="U7">
            <v>1</v>
          </cell>
        </row>
        <row r="8">
          <cell r="A8" t="str">
            <v>Leverkusen</v>
          </cell>
          <cell r="B8" t="str">
            <v>Frankfurt</v>
          </cell>
          <cell r="D8">
            <v>3</v>
          </cell>
          <cell r="E8">
            <v>1</v>
          </cell>
          <cell r="H8">
            <v>2</v>
          </cell>
          <cell r="I8">
            <v>1</v>
          </cell>
          <cell r="L8">
            <v>3</v>
          </cell>
          <cell r="M8">
            <v>1</v>
          </cell>
          <cell r="P8">
            <v>3</v>
          </cell>
          <cell r="Q8">
            <v>1</v>
          </cell>
          <cell r="T8">
            <v>3</v>
          </cell>
          <cell r="U8">
            <v>2</v>
          </cell>
        </row>
        <row r="9">
          <cell r="A9" t="str">
            <v>Mainz</v>
          </cell>
          <cell r="B9" t="str">
            <v>Heidenheim</v>
          </cell>
          <cell r="D9">
            <v>2</v>
          </cell>
          <cell r="E9">
            <v>1</v>
          </cell>
          <cell r="H9">
            <v>1</v>
          </cell>
          <cell r="I9">
            <v>1</v>
          </cell>
          <cell r="L9">
            <v>2</v>
          </cell>
          <cell r="M9">
            <v>1</v>
          </cell>
          <cell r="P9">
            <v>2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M'gladbach</v>
          </cell>
          <cell r="B10" t="str">
            <v>Bremen</v>
          </cell>
          <cell r="D10">
            <v>2</v>
          </cell>
          <cell r="E10">
            <v>1</v>
          </cell>
          <cell r="H10">
            <v>2</v>
          </cell>
          <cell r="I10">
            <v>1</v>
          </cell>
          <cell r="L10">
            <v>2</v>
          </cell>
          <cell r="M10">
            <v>1</v>
          </cell>
          <cell r="P10">
            <v>2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Bochum</v>
          </cell>
          <cell r="B11" t="str">
            <v>Union Berlin</v>
          </cell>
          <cell r="D11">
            <v>1</v>
          </cell>
          <cell r="E11">
            <v>1</v>
          </cell>
          <cell r="H11">
            <v>0</v>
          </cell>
          <cell r="I11">
            <v>2</v>
          </cell>
          <cell r="L11">
            <v>1</v>
          </cell>
          <cell r="M11">
            <v>2</v>
          </cell>
          <cell r="P11">
            <v>1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Augsburg</v>
          </cell>
          <cell r="B12" t="str">
            <v>Dortmund</v>
          </cell>
          <cell r="D12">
            <v>1</v>
          </cell>
          <cell r="E12">
            <v>3</v>
          </cell>
          <cell r="H12">
            <v>1</v>
          </cell>
          <cell r="I12">
            <v>2</v>
          </cell>
          <cell r="L12">
            <v>1</v>
          </cell>
          <cell r="M12">
            <v>3</v>
          </cell>
          <cell r="P12">
            <v>1</v>
          </cell>
          <cell r="Q12">
            <v>3</v>
          </cell>
          <cell r="T12">
            <v>1</v>
          </cell>
          <cell r="U12">
            <v>3</v>
          </cell>
        </row>
        <row r="13">
          <cell r="A13" t="str">
            <v>Darmstadt</v>
          </cell>
          <cell r="B13" t="str">
            <v>Wolfsburg</v>
          </cell>
          <cell r="D13">
            <v>0</v>
          </cell>
          <cell r="E13">
            <v>2</v>
          </cell>
          <cell r="H13">
            <v>0</v>
          </cell>
          <cell r="I13">
            <v>1</v>
          </cell>
          <cell r="L13">
            <v>0</v>
          </cell>
          <cell r="M13">
            <v>2</v>
          </cell>
          <cell r="P13">
            <v>0</v>
          </cell>
          <cell r="Q13">
            <v>2</v>
          </cell>
          <cell r="T13">
            <v>1</v>
          </cell>
          <cell r="U13">
            <v>2</v>
          </cell>
        </row>
        <row r="20">
          <cell r="D20">
            <v>3</v>
          </cell>
          <cell r="E20">
            <v>1</v>
          </cell>
          <cell r="H20">
            <v>3</v>
          </cell>
          <cell r="I20">
            <v>0</v>
          </cell>
          <cell r="L20">
            <v>3</v>
          </cell>
          <cell r="M20">
            <v>0</v>
          </cell>
          <cell r="P20">
            <v>2</v>
          </cell>
          <cell r="Q20">
            <v>0</v>
          </cell>
        </row>
        <row r="21">
          <cell r="D21">
            <v>3</v>
          </cell>
          <cell r="E21">
            <v>1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P21">
            <v>2</v>
          </cell>
          <cell r="Q21">
            <v>0</v>
          </cell>
        </row>
        <row r="22">
          <cell r="D22">
            <v>3</v>
          </cell>
          <cell r="E22">
            <v>1</v>
          </cell>
          <cell r="H22">
            <v>2</v>
          </cell>
          <cell r="I22">
            <v>0</v>
          </cell>
          <cell r="L22">
            <v>2</v>
          </cell>
          <cell r="M22">
            <v>0</v>
          </cell>
          <cell r="P22">
            <v>3</v>
          </cell>
          <cell r="Q22">
            <v>1</v>
          </cell>
        </row>
        <row r="23">
          <cell r="D23">
            <v>3</v>
          </cell>
          <cell r="E23">
            <v>2</v>
          </cell>
          <cell r="H23">
            <v>2</v>
          </cell>
          <cell r="I23">
            <v>1</v>
          </cell>
          <cell r="L23">
            <v>2</v>
          </cell>
          <cell r="M23">
            <v>1</v>
          </cell>
          <cell r="P23">
            <v>2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2</v>
          </cell>
          <cell r="M24">
            <v>1</v>
          </cell>
          <cell r="P24">
            <v>1</v>
          </cell>
          <cell r="Q24">
            <v>1</v>
          </cell>
        </row>
        <row r="25">
          <cell r="D25">
            <v>2</v>
          </cell>
          <cell r="E25">
            <v>1</v>
          </cell>
          <cell r="H25">
            <v>3</v>
          </cell>
          <cell r="I25">
            <v>1</v>
          </cell>
          <cell r="L25">
            <v>3</v>
          </cell>
          <cell r="M25">
            <v>1</v>
          </cell>
          <cell r="P25">
            <v>2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1</v>
          </cell>
          <cell r="I26">
            <v>2</v>
          </cell>
          <cell r="L26">
            <v>1</v>
          </cell>
          <cell r="M26">
            <v>2</v>
          </cell>
          <cell r="P26">
            <v>0</v>
          </cell>
          <cell r="Q26">
            <v>2</v>
          </cell>
        </row>
        <row r="27">
          <cell r="D27">
            <v>1</v>
          </cell>
          <cell r="E27">
            <v>3</v>
          </cell>
          <cell r="H27">
            <v>0</v>
          </cell>
          <cell r="I27">
            <v>2</v>
          </cell>
          <cell r="L27">
            <v>0</v>
          </cell>
          <cell r="M27">
            <v>2</v>
          </cell>
          <cell r="P27">
            <v>1</v>
          </cell>
          <cell r="Q27">
            <v>2</v>
          </cell>
        </row>
        <row r="28">
          <cell r="D28">
            <v>1</v>
          </cell>
          <cell r="E28">
            <v>2</v>
          </cell>
          <cell r="H28">
            <v>0</v>
          </cell>
          <cell r="I28">
            <v>2</v>
          </cell>
          <cell r="L28">
            <v>0</v>
          </cell>
          <cell r="M28">
            <v>1</v>
          </cell>
          <cell r="P28">
            <v>0</v>
          </cell>
          <cell r="Q28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10</v>
          </cell>
        </row>
      </sheetData>
      <sheetData sheetId="1">
        <row r="3">
          <cell r="B3">
            <v>15</v>
          </cell>
        </row>
      </sheetData>
      <sheetData sheetId="2">
        <row r="3">
          <cell r="B3">
            <v>7</v>
          </cell>
        </row>
      </sheetData>
      <sheetData sheetId="3">
        <row r="3">
          <cell r="B3">
            <v>6</v>
          </cell>
        </row>
      </sheetData>
      <sheetData sheetId="4">
        <row r="3">
          <cell r="B3">
            <v>3</v>
          </cell>
        </row>
      </sheetData>
      <sheetData sheetId="5">
        <row r="3">
          <cell r="B3">
            <v>4</v>
          </cell>
        </row>
      </sheetData>
      <sheetData sheetId="6">
        <row r="3">
          <cell r="B3">
            <v>9</v>
          </cell>
        </row>
      </sheetData>
      <sheetData sheetId="7">
        <row r="3">
          <cell r="B3">
            <v>14</v>
          </cell>
        </row>
      </sheetData>
      <sheetData sheetId="8">
        <row r="3">
          <cell r="B3">
            <v>7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Stuttgart</v>
      </c>
      <c r="C1" s="3">
        <f>Auswertung!I1</f>
        <v>3</v>
      </c>
      <c r="D1" s="4">
        <f>Auswertung!J1</f>
        <v>0</v>
      </c>
    </row>
    <row r="2" spans="1:6" x14ac:dyDescent="0.2">
      <c r="A2" s="1" t="str">
        <f>Auswertung!D2</f>
        <v>Leipzig</v>
      </c>
      <c r="B2" s="2" t="str">
        <f>Auswertung!E2</f>
        <v>Hoffenheim</v>
      </c>
      <c r="C2" s="3">
        <f>Auswertung!I2</f>
        <v>3</v>
      </c>
      <c r="D2" s="4">
        <f>Auswertung!J2</f>
        <v>1</v>
      </c>
    </row>
    <row r="3" spans="1:6" x14ac:dyDescent="0.2">
      <c r="A3" s="1" t="str">
        <f>Auswertung!D3</f>
        <v>Freiburg</v>
      </c>
      <c r="B3" s="2" t="str">
        <f>Auswertung!E3</f>
        <v>Köln</v>
      </c>
      <c r="C3" s="3">
        <f>Auswertung!I3</f>
        <v>2</v>
      </c>
      <c r="D3" s="4">
        <f>Auswertung!J3</f>
        <v>0</v>
      </c>
    </row>
    <row r="4" spans="1:6" x14ac:dyDescent="0.2">
      <c r="A4" s="1" t="str">
        <f>Auswertung!D4</f>
        <v>Leverkusen</v>
      </c>
      <c r="B4" s="2" t="str">
        <f>Auswertung!E4</f>
        <v>Frankfurt</v>
      </c>
      <c r="C4" s="3">
        <f>Auswertung!I4</f>
        <v>3</v>
      </c>
      <c r="D4" s="4">
        <f>Auswertung!J4</f>
        <v>0</v>
      </c>
    </row>
    <row r="5" spans="1:6" x14ac:dyDescent="0.2">
      <c r="A5" s="1" t="str">
        <f>Auswertung!D5</f>
        <v>Mainz</v>
      </c>
      <c r="B5" s="2" t="str">
        <f>Auswertung!E5</f>
        <v>Heidenheim</v>
      </c>
      <c r="C5" s="3">
        <f>Auswertung!I5</f>
        <v>0</v>
      </c>
      <c r="D5" s="4">
        <f>Auswertung!J5</f>
        <v>1</v>
      </c>
    </row>
    <row r="6" spans="1:6" x14ac:dyDescent="0.2">
      <c r="A6" s="1" t="str">
        <f>Auswertung!D6</f>
        <v>M'gladbach</v>
      </c>
      <c r="B6" s="2" t="str">
        <f>Auswertung!E6</f>
        <v>Bremen</v>
      </c>
      <c r="C6" s="3">
        <f>Auswertung!I6</f>
        <v>2</v>
      </c>
      <c r="D6" s="4">
        <f>Auswertung!J6</f>
        <v>2</v>
      </c>
    </row>
    <row r="7" spans="1:6" x14ac:dyDescent="0.2">
      <c r="A7" s="1" t="str">
        <f>Auswertung!D7</f>
        <v>Bochum</v>
      </c>
      <c r="B7" s="2" t="str">
        <f>Auswertung!E7</f>
        <v>Union Berlin</v>
      </c>
      <c r="C7" s="3">
        <f>Auswertung!I7</f>
        <v>3</v>
      </c>
      <c r="D7" s="4">
        <f>Auswertung!J7</f>
        <v>0</v>
      </c>
    </row>
    <row r="8" spans="1:6" x14ac:dyDescent="0.2">
      <c r="A8" s="1" t="str">
        <f>Auswertung!D8</f>
        <v>Augsburg</v>
      </c>
      <c r="B8" s="2" t="str">
        <f>Auswertung!E8</f>
        <v>Dortmund</v>
      </c>
      <c r="C8" s="3">
        <f>Auswertung!I8</f>
        <v>1</v>
      </c>
      <c r="D8" s="4">
        <f>Auswertung!J8</f>
        <v>1</v>
      </c>
    </row>
    <row r="9" spans="1:6" x14ac:dyDescent="0.2">
      <c r="A9" s="1" t="str">
        <f>Auswertung!D9</f>
        <v>Darmstadt</v>
      </c>
      <c r="B9" s="2" t="str">
        <f>Auswertung!E9</f>
        <v>Wolfsburg</v>
      </c>
      <c r="C9" s="3">
        <f>Auswertung!I9</f>
        <v>0</v>
      </c>
      <c r="D9" s="4">
        <f>Auswertung!J9</f>
        <v>1</v>
      </c>
    </row>
    <row r="12" spans="1:6" x14ac:dyDescent="0.2">
      <c r="A12" s="6" t="s">
        <v>49</v>
      </c>
      <c r="B12" s="6">
        <f t="shared" ref="B12:B47" si="0">SUM(C12:E12)</f>
        <v>3</v>
      </c>
      <c r="C12" s="6">
        <f>IF($A$1="München",$C$1,IF($A$2="München",$C$2,IF($A$3="München",$C$3,IF($A$4="München",$C$4,IF($A$5="München",$C$5,IF($A$6="München",$C$6,IF($A$7="München",$C$7,IF($A$7="München",$C$7,""))))))))</f>
        <v>3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>
        <f>IF($A$1="München",$D$1,IF($A$2="München",$D$2,IF($A$3="München",$D$3,IF($A$4="München",$D$4,IF($A$5="München",$D$5,IF($A$6="München",$D$6,IF($A$7="München",$D$7,IF($A$7="München",$D$7,""))))))))</f>
        <v>0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326</v>
      </c>
      <c r="B14" s="6">
        <f t="shared" si="0"/>
        <v>2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2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327</v>
      </c>
      <c r="B15" s="7">
        <f t="shared" si="0"/>
        <v>2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2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1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>
        <f>IF($B$7="Dortmund",$D$7,IF($B$8="Dortmund",$D$8,IF($B$9="Dortmund",$D$9,"")))</f>
        <v>1</v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>
        <f>IF($B$7="Dortmund",$C$7,IF($B$8="Dortmund",$C$8,IF($B$9="Dortmund",$C$9,"")))</f>
        <v>1</v>
      </c>
      <c r="F17" s="6"/>
    </row>
    <row r="18" spans="1:6" x14ac:dyDescent="0.2">
      <c r="A18" s="6" t="s">
        <v>36</v>
      </c>
      <c r="B18" s="6">
        <f t="shared" si="0"/>
        <v>3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3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0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421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0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422</v>
      </c>
      <c r="B21" s="7">
        <f t="shared" si="0"/>
        <v>1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1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3</v>
      </c>
      <c r="C22" s="6">
        <f>IF($A$1="Leipzig",$C$1,IF($A$2="Leipzig",$C$2,IF($A$3="Leipzig",$C$3,IF($A$4="Leipzig",$C$4,IF($A$5="Leipzig",$C$5,IF($A$6="Leipzig",$C$6,IF($A$7="Leipzig",$C$7,IF($A$7="Leipzig",$C$7,""))))))))</f>
        <v>3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>
        <f>IF($A$1="Leipzig",$D$1,IF($A$2="Leipzig",$D$2,IF($A$3="Leipzig",$D$3,IF($A$4="Leipzig",$D$4,IF($A$5="Leipzig",$D$5,IF($A$6="Leipzig",$D$6,IF($A$7="Leipzig",$D$7,IF($A$7="Leipzig",$D$7,""))))))))</f>
        <v>1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266</v>
      </c>
      <c r="B24" s="6">
        <f t="shared" si="0"/>
        <v>3</v>
      </c>
      <c r="C24" s="6">
        <f>IF($A$1="Bochum",$C$1,IF($A$2="Bochum",$C$2,IF($A$3="Bochum",$C$3,IF($A$4="Bochum",$C$4,IF($A$5="Bochum",$C$5,IF($A$6="Bochum",$C$6,IF($A$7="Bochum",$C$7,IF($A$7="Bochum",$C$7,""))))))))</f>
        <v>3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267</v>
      </c>
      <c r="B25" s="7">
        <f t="shared" si="0"/>
        <v>0</v>
      </c>
      <c r="C25" s="7">
        <f>IF($A$1="Bochum",$D$1,IF($A$2="Bochum",$D$2,IF($A$3="Bochum",$D$3,IF($A$4="Bochum",$D$4,IF($A$5="Bochum",$D$5,IF($A$6="Bochum",$D$6,IF($A$7="Bochum",$D$7,IF($A$7="Bochum",$D$7,""))))))))</f>
        <v>0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230</v>
      </c>
      <c r="B26" s="6">
        <f t="shared" si="0"/>
        <v>0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0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231</v>
      </c>
      <c r="B27" s="7">
        <f t="shared" si="0"/>
        <v>3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3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1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>
        <f>IF($B$7="Wolfsburg",$D$7,IF($B$8="Wolfsburg",$D$8,IF($B$9="Wolfsburg",$D$9,"")))</f>
        <v>1</v>
      </c>
      <c r="F28" s="6"/>
    </row>
    <row r="29" spans="1:6" ht="13.5" thickBot="1" x14ac:dyDescent="0.25">
      <c r="A29" s="7" t="s">
        <v>38</v>
      </c>
      <c r="B29" s="7">
        <f t="shared" si="0"/>
        <v>0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>
        <f>IF($B$7="Wolfsburg",$C$7,IF($B$8="Wolfsburg",$C$8,IF($B$9="Wolfsburg",$C$9,"")))</f>
        <v>0</v>
      </c>
      <c r="F29" s="6"/>
    </row>
    <row r="30" spans="1:6" x14ac:dyDescent="0.2">
      <c r="A30" s="6" t="s">
        <v>71</v>
      </c>
      <c r="B30" s="6">
        <f t="shared" si="0"/>
        <v>1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>
        <f>IF($A$8="Hoffenheim",$C$8,IF($A$9="Hoffenheim",$C$9,IF($B$1="Hoffenheim",$D$1,IF($B$2="Hoffenheim",$D$2,IF($B$3="Hoffenheim",$D$3,IF($B$4="Hoffenheim",$D$4,IF($B$5="Hoffenheim",$D$5,IF($B$6="Hoffenheim",$D$6,""))))))))</f>
        <v>1</v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>
        <f>IF($A$8="Hoffenheim",$D$8,IF($A$9="Hoffenheim",$D$9,IF($B$1="Hoffenheim",$C$1,IF($B$2="Hoffenheim",$C$2,IF($B$3="Hoffenheim",$C$3,IF($B$4="Hoffenheim",$C$4,IF($B$5="Hoffenheim",$C$5,IF($B$6="Hoffenheim",$C$6,""))))))))</f>
        <v>3</v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181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>
        <f>IF($B$7="Union Berlin",$D$7,IF($B$8="Union Berlin",$D$8,IF($B$9="Union Berlin",$D$9,"")))</f>
        <v>0</v>
      </c>
      <c r="F32" s="6"/>
    </row>
    <row r="33" spans="1:6" ht="13.5" thickBot="1" x14ac:dyDescent="0.25">
      <c r="A33" s="7" t="s">
        <v>182</v>
      </c>
      <c r="B33" s="7">
        <f t="shared" si="0"/>
        <v>3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>
        <f>IF($B$7="Union Berlin",$C$7,IF($B$8="Union Berlin",$C$8,IF($B$9="Union Berlin",$C$9,"")))</f>
        <v>3</v>
      </c>
      <c r="F33" s="6"/>
    </row>
    <row r="34" spans="1:6" x14ac:dyDescent="0.2">
      <c r="A34" s="6" t="s">
        <v>176</v>
      </c>
      <c r="B34" s="6">
        <f t="shared" si="0"/>
        <v>0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0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177</v>
      </c>
      <c r="B35" s="7">
        <f t="shared" si="0"/>
        <v>2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2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423</v>
      </c>
      <c r="B36" s="6">
        <f t="shared" si="0"/>
        <v>1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1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424</v>
      </c>
      <c r="B37" s="7">
        <f t="shared" si="0"/>
        <v>0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0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1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1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1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2</v>
      </c>
      <c r="C40" s="6">
        <f>IF($A$1="Freiburg",$C$1,IF($A$2="Freiburg",$C$2,IF($A$3="Freiburg",$C$3,IF($A$4="Freiburg",$C$4,IF($A$5="Freiburg",$C$5,IF($A$6="Freiburg",$C$6,IF($A$7="Freiburg",$C$7,IF($A$7="Freiburg",$C$7,""))))))))</f>
        <v>2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>
        <f>IF($A$1="Freiburg",$D$1,IF($A$2="Freiburg",$D$2,IF($A$3="Freiburg",$D$3,IF($A$4="Freiburg",$D$4,IF($A$5="Freiburg",$D$5,IF($A$6="Freiburg",$D$6,IF($A$7="Freiburg",$D$7,IF($A$7="Freiburg",$D$7,""))))))))</f>
        <v>0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0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0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3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3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0</v>
      </c>
      <c r="C44" s="6">
        <f>IF($A$1="Mainz",$C$1,IF($A$2="Mainz",$C$2,IF($A$3="Mainz",$C$3,IF($A$4="Mainz",$C$4,IF($A$5="Mainz",$C$5,IF($A$6="Mainz",$C$6,IF($A$7="Mainz",$C$7,IF($A$7="Mainz",$C$7,""))))))))</f>
        <v>0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2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2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2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2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114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N124" sqref="N124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427</v>
      </c>
      <c r="U1" s="174" t="s">
        <v>428</v>
      </c>
      <c r="V1" s="174" t="s">
        <v>429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>
        <v>1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637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268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584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430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330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184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255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431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331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577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/>
      <c r="M16" s="182"/>
      <c r="N16" s="182"/>
      <c r="O16" s="182"/>
      <c r="P16" s="182"/>
      <c r="Q16" s="182"/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/>
      <c r="N17" s="182"/>
      <c r="O17" s="182">
        <v>6</v>
      </c>
      <c r="P17" s="182">
        <v>8</v>
      </c>
      <c r="Q17" s="182">
        <v>6</v>
      </c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254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>
        <v>7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595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574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>
        <v>11</v>
      </c>
      <c r="N22" s="182">
        <v>9</v>
      </c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600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>
        <v>9</v>
      </c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256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332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19" t="s">
        <v>32</v>
      </c>
      <c r="B28" s="219"/>
      <c r="C28" s="219"/>
      <c r="D28" s="219"/>
      <c r="E28" s="219"/>
      <c r="F28" s="219"/>
      <c r="G28" s="219"/>
      <c r="H28" s="219"/>
      <c r="I28" s="219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244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>
        <v>1</v>
      </c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401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333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325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185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199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216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252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232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/>
      <c r="M39" s="182"/>
      <c r="N39" s="182">
        <v>2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212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270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397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300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217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275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>
        <v>5</v>
      </c>
      <c r="L46" s="182"/>
      <c r="M46" s="182">
        <v>6</v>
      </c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/>
      <c r="P47" s="182"/>
      <c r="Q47" s="182"/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432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221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433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271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578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334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386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>
        <v>11</v>
      </c>
      <c r="M54" s="182"/>
      <c r="N54" s="182"/>
      <c r="O54" s="182"/>
      <c r="P54" s="182"/>
      <c r="Q54" s="182">
        <v>10</v>
      </c>
      <c r="R54" s="182">
        <v>11</v>
      </c>
      <c r="S54" s="182">
        <v>10</v>
      </c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409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272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273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/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335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336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20" t="s">
        <v>128</v>
      </c>
      <c r="B60" s="220"/>
      <c r="C60" s="220"/>
      <c r="D60" s="220"/>
      <c r="E60" s="220"/>
      <c r="F60" s="220"/>
      <c r="G60" s="220"/>
      <c r="H60" s="220"/>
      <c r="I60" s="220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602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338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>
        <v>1</v>
      </c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434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339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269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210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435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>
        <v>3</v>
      </c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289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>
        <v>3</v>
      </c>
      <c r="S70" s="182">
        <v>2</v>
      </c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575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233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>
        <v>2</v>
      </c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220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186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436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>
        <v>7</v>
      </c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437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438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/>
      <c r="L79" s="182"/>
      <c r="M79" s="182">
        <v>8</v>
      </c>
      <c r="N79" s="182">
        <v>6</v>
      </c>
      <c r="O79" s="182"/>
      <c r="P79" s="182"/>
      <c r="Q79" s="182"/>
      <c r="R79" s="182"/>
      <c r="S79" s="182">
        <v>7</v>
      </c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191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439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/>
      <c r="O82" s="182">
        <v>5</v>
      </c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388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601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>
        <v>10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603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20" t="s">
        <v>179</v>
      </c>
      <c r="B87" s="220"/>
      <c r="C87" s="220"/>
      <c r="D87" s="220"/>
      <c r="E87" s="220"/>
      <c r="F87" s="220"/>
      <c r="G87" s="220"/>
      <c r="H87" s="220"/>
      <c r="I87" s="220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604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208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440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280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341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340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590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419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642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211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441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605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410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240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606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398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442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443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592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444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445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278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215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20" t="s">
        <v>129</v>
      </c>
      <c r="B116" s="220"/>
      <c r="C116" s="220"/>
      <c r="D116" s="220"/>
      <c r="E116" s="220"/>
      <c r="F116" s="220"/>
      <c r="G116" s="220"/>
      <c r="H116" s="220"/>
      <c r="I116" s="220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285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237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402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264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>
        <v>4</v>
      </c>
      <c r="M125" s="182"/>
      <c r="N125" s="182">
        <v>3</v>
      </c>
      <c r="O125" s="182"/>
      <c r="P125" s="182"/>
      <c r="Q125" s="182"/>
      <c r="R125" s="182">
        <v>2</v>
      </c>
      <c r="S125" s="182">
        <v>4</v>
      </c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446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447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286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314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344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226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200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413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/>
      <c r="L135" s="182">
        <v>8</v>
      </c>
      <c r="M135" s="182"/>
      <c r="N135" s="182"/>
      <c r="O135" s="182"/>
      <c r="P135" s="182">
        <v>5</v>
      </c>
      <c r="Q135" s="182"/>
      <c r="R135" s="182"/>
      <c r="S135" s="182">
        <v>6</v>
      </c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389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658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607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585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448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257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242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586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19" t="s">
        <v>30</v>
      </c>
      <c r="B145" s="219"/>
      <c r="C145" s="219"/>
      <c r="D145" s="219"/>
      <c r="E145" s="219"/>
      <c r="F145" s="219"/>
      <c r="G145" s="219"/>
      <c r="H145" s="219"/>
      <c r="I145" s="219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608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609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187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610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313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>
        <v>2</v>
      </c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277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222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449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450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262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263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451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594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>
        <v>5</v>
      </c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214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224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>
        <v>8</v>
      </c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337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405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218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452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453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454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253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638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315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455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/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611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20" t="s">
        <v>106</v>
      </c>
      <c r="B174" s="220"/>
      <c r="C174" s="220"/>
      <c r="D174" s="220"/>
      <c r="E174" s="220"/>
      <c r="F174" s="220"/>
      <c r="G174" s="220"/>
      <c r="H174" s="220"/>
      <c r="I174" s="220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192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/>
      <c r="O175" s="182">
        <v>1</v>
      </c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245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640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456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643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457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458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612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615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644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417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645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238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459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460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614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639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206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461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390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356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357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403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646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462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358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463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316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225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464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259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465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596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20" t="s">
        <v>31</v>
      </c>
      <c r="B212" s="220"/>
      <c r="C212" s="220"/>
      <c r="D212" s="220"/>
      <c r="E212" s="220"/>
      <c r="F212" s="220"/>
      <c r="G212" s="220"/>
      <c r="H212" s="220"/>
      <c r="I212" s="220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>
        <v>1</v>
      </c>
      <c r="N213" s="182"/>
      <c r="O213" s="182"/>
      <c r="P213" s="182">
        <v>1</v>
      </c>
      <c r="Q213" s="182">
        <v>1</v>
      </c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189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274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360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205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236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>
        <v>2</v>
      </c>
      <c r="P219" s="182"/>
      <c r="Q219" s="182"/>
      <c r="R219" s="182">
        <v>4</v>
      </c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620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412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619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576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>
        <v>4</v>
      </c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466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393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467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618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361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591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>
        <v>6</v>
      </c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197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>
        <v>7</v>
      </c>
      <c r="P230" s="182">
        <v>7</v>
      </c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>
        <v>7</v>
      </c>
      <c r="O232" s="182"/>
      <c r="P232" s="182"/>
      <c r="Q232" s="182">
        <v>7</v>
      </c>
      <c r="R232" s="182">
        <v>7</v>
      </c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362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297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321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647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276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617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616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322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>
        <v>10</v>
      </c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20" t="s">
        <v>114</v>
      </c>
      <c r="B241" s="220"/>
      <c r="C241" s="220"/>
      <c r="D241" s="220"/>
      <c r="E241" s="220"/>
      <c r="F241" s="220"/>
      <c r="G241" s="220"/>
      <c r="H241" s="220"/>
      <c r="I241" s="220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291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468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>
        <v>1</v>
      </c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636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394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308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349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350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420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292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239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294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223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598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371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597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324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579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411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198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>
        <v>9</v>
      </c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655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414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399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19" t="s">
        <v>69</v>
      </c>
      <c r="B269" s="219"/>
      <c r="C269" s="219"/>
      <c r="D269" s="219"/>
      <c r="E269" s="219"/>
      <c r="F269" s="219"/>
      <c r="G269" s="219"/>
      <c r="H269" s="219"/>
      <c r="I269" s="219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406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469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234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470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381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353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209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188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227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>
        <v>3</v>
      </c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471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261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>
        <v>4</v>
      </c>
      <c r="Q283" s="182">
        <v>4</v>
      </c>
      <c r="R283" s="182"/>
      <c r="S283" s="182">
        <v>3</v>
      </c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472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473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392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>
        <v>8</v>
      </c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474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354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622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391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475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476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343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>
        <v>10</v>
      </c>
      <c r="O297" s="182"/>
      <c r="P297" s="182">
        <v>11</v>
      </c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477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621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355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20" t="s">
        <v>183</v>
      </c>
      <c r="B301" s="220"/>
      <c r="C301" s="220"/>
      <c r="D301" s="220"/>
      <c r="E301" s="220"/>
      <c r="F301" s="220"/>
      <c r="G301" s="220"/>
      <c r="H301" s="220"/>
      <c r="I301" s="220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298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478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193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479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204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299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207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480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481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320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482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587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483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345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301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623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484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485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219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346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359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319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486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302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260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347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348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657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20" t="s">
        <v>122</v>
      </c>
      <c r="B333" s="220"/>
      <c r="C333" s="220"/>
      <c r="D333" s="220"/>
      <c r="E333" s="220"/>
      <c r="F333" s="220"/>
      <c r="G333" s="220"/>
      <c r="H333" s="220"/>
      <c r="I333" s="220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290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235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351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487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415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387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488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648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213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489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293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490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625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352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491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649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288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416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641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194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492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493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372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624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195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19" t="s">
        <v>329</v>
      </c>
      <c r="B364" s="219"/>
      <c r="C364" s="219"/>
      <c r="D364" s="219"/>
      <c r="E364" s="219"/>
      <c r="F364" s="219"/>
      <c r="G364" s="219"/>
      <c r="H364" s="219"/>
      <c r="I364" s="219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373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374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375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650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376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243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377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635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378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379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380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382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383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494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495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384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496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580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385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497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498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613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499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20" t="s">
        <v>265</v>
      </c>
      <c r="B389" s="220"/>
      <c r="C389" s="220"/>
      <c r="D389" s="220"/>
      <c r="E389" s="220"/>
      <c r="F389" s="220"/>
      <c r="G389" s="220"/>
      <c r="H389" s="220"/>
      <c r="I389" s="220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309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310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500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307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581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633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502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588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503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365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366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582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589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501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304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258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305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250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504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364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634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583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505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651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303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306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408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367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19" t="s">
        <v>97</v>
      </c>
      <c r="B419" s="219"/>
      <c r="C419" s="219"/>
      <c r="D419" s="219"/>
      <c r="E419" s="219"/>
      <c r="F419" s="219"/>
      <c r="G419" s="219"/>
      <c r="H419" s="219"/>
      <c r="I419" s="219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196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506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630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241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318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202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507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190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201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311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508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509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631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652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368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653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295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510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203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511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404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296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512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513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632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514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515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418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407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20" t="s">
        <v>229</v>
      </c>
      <c r="B452" s="220"/>
      <c r="C452" s="220"/>
      <c r="D452" s="220"/>
      <c r="E452" s="220"/>
      <c r="F452" s="220"/>
      <c r="G452" s="220"/>
      <c r="H452" s="220"/>
      <c r="I452" s="220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246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516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517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317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247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/>
      <c r="L457" s="182">
        <v>3</v>
      </c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369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248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599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284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395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654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287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312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518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249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279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251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282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/>
      <c r="L471" s="182">
        <v>6</v>
      </c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283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519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400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656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396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281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520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629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370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521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20" t="s">
        <v>425</v>
      </c>
      <c r="B482" s="220"/>
      <c r="C482" s="220"/>
      <c r="D482" s="220"/>
      <c r="E482" s="220"/>
      <c r="F482" s="220"/>
      <c r="G482" s="220"/>
      <c r="H482" s="220"/>
      <c r="I482" s="220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522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523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524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525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526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527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528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529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626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530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531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532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533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534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627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535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536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537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538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539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628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540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541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542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543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544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545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546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20" t="s">
        <v>426</v>
      </c>
      <c r="B511" s="220"/>
      <c r="C511" s="220"/>
      <c r="D511" s="220"/>
      <c r="E511" s="220"/>
      <c r="F511" s="220"/>
      <c r="G511" s="220"/>
      <c r="H511" s="220"/>
      <c r="I511" s="220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547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548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549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550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551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552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553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554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555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556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557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558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559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560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561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562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563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564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565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566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567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568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363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569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572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570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593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342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571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573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452:I452"/>
    <mergeCell ref="A301:I301"/>
    <mergeCell ref="A482:I482"/>
    <mergeCell ref="A511:I511"/>
    <mergeCell ref="A419:I419"/>
    <mergeCell ref="A389:I389"/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175" activePane="bottomRight" state="frozen"/>
      <selection activeCell="M39" sqref="M39"/>
      <selection pane="topRight" activeCell="M39" sqref="M39"/>
      <selection pane="bottomLeft" activeCell="M39" sqref="M39"/>
      <selection pane="bottomRight" activeCell="D187" sqref="D187:W187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'[1]15. Spieltag'!A5</f>
        <v>München</v>
      </c>
      <c r="E1" s="131" t="str">
        <f>'[1]15. Spieltag'!B5</f>
        <v>Stuttgart</v>
      </c>
      <c r="F1" s="131"/>
      <c r="G1" s="131"/>
      <c r="H1" s="131"/>
      <c r="I1" s="132">
        <v>3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'[1]15. Spieltag'!A6</f>
        <v>Leipzig</v>
      </c>
      <c r="E2" s="137" t="str">
        <f>'[1]15. Spieltag'!B6</f>
        <v>Hoffenheim</v>
      </c>
      <c r="F2" s="137"/>
      <c r="G2" s="137"/>
      <c r="H2" s="137"/>
      <c r="I2" s="138">
        <v>3</v>
      </c>
      <c r="J2" s="139">
        <v>1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'[1]15. Spieltag'!A7</f>
        <v>Freiburg</v>
      </c>
      <c r="E3" s="137" t="str">
        <f>'[1]15. Spieltag'!B7</f>
        <v>Köln</v>
      </c>
      <c r="F3" s="137"/>
      <c r="G3" s="137"/>
      <c r="H3" s="137"/>
      <c r="I3" s="138">
        <v>2</v>
      </c>
      <c r="J3" s="139">
        <v>0</v>
      </c>
      <c r="K3" s="128"/>
      <c r="L3" s="223" t="s">
        <v>9</v>
      </c>
      <c r="M3" s="224"/>
      <c r="N3" s="224"/>
      <c r="O3" s="224"/>
      <c r="P3" s="213">
        <f>Ergebniseingabe!B12</f>
        <v>3</v>
      </c>
      <c r="Q3" s="214">
        <f>Ergebniseingabe!B13</f>
        <v>0</v>
      </c>
      <c r="R3" s="223" t="s">
        <v>70</v>
      </c>
      <c r="S3" s="224"/>
      <c r="T3" s="224"/>
      <c r="U3" s="224"/>
      <c r="V3" s="215">
        <f>Ergebniseingabe!B30</f>
        <v>1</v>
      </c>
      <c r="W3" s="214">
        <f>Ergebniseingabe!B31</f>
        <v>3</v>
      </c>
    </row>
    <row r="4" spans="1:23" ht="13.5" x14ac:dyDescent="0.2">
      <c r="D4" s="136" t="str">
        <f>'[1]15. Spieltag'!A8</f>
        <v>Leverkusen</v>
      </c>
      <c r="E4" s="137" t="str">
        <f>'[1]15. Spieltag'!B8</f>
        <v>Frankfurt</v>
      </c>
      <c r="F4" s="137"/>
      <c r="G4" s="137"/>
      <c r="H4" s="137"/>
      <c r="I4" s="138">
        <v>3</v>
      </c>
      <c r="J4" s="139">
        <v>0</v>
      </c>
      <c r="K4" s="128"/>
      <c r="L4" s="223" t="s">
        <v>329</v>
      </c>
      <c r="M4" s="224"/>
      <c r="N4" s="224"/>
      <c r="O4" s="224"/>
      <c r="P4" s="213">
        <f>Ergebniseingabe!B14</f>
        <v>2</v>
      </c>
      <c r="Q4" s="214">
        <f>Ergebniseingabe!B15</f>
        <v>2</v>
      </c>
      <c r="R4" s="223" t="s">
        <v>179</v>
      </c>
      <c r="S4" s="224"/>
      <c r="T4" s="224"/>
      <c r="U4" s="224"/>
      <c r="V4" s="215">
        <f>Ergebniseingabe!B32</f>
        <v>0</v>
      </c>
      <c r="W4" s="214">
        <f>Ergebniseingabe!B33</f>
        <v>3</v>
      </c>
    </row>
    <row r="5" spans="1:23" ht="13.5" x14ac:dyDescent="0.2">
      <c r="D5" s="136" t="str">
        <f>'[1]15. Spieltag'!A9</f>
        <v>Mainz</v>
      </c>
      <c r="E5" s="137" t="str">
        <f>'[1]15. Spieltag'!B9</f>
        <v>Heidenheim</v>
      </c>
      <c r="F5" s="137"/>
      <c r="G5" s="137"/>
      <c r="H5" s="137"/>
      <c r="I5" s="138">
        <v>0</v>
      </c>
      <c r="J5" s="139">
        <v>1</v>
      </c>
      <c r="K5" s="128"/>
      <c r="L5" s="223" t="s">
        <v>32</v>
      </c>
      <c r="M5" s="224"/>
      <c r="N5" s="224"/>
      <c r="O5" s="224"/>
      <c r="P5" s="213">
        <f>Ergebniseingabe!B16</f>
        <v>1</v>
      </c>
      <c r="Q5" s="214">
        <f>Ergebniseingabe!B17</f>
        <v>1</v>
      </c>
      <c r="R5" s="223" t="s">
        <v>183</v>
      </c>
      <c r="S5" s="224"/>
      <c r="T5" s="224"/>
      <c r="U5" s="224"/>
      <c r="V5" s="215">
        <f>Ergebniseingabe!B34</f>
        <v>0</v>
      </c>
      <c r="W5" s="214">
        <f>Ergebniseingabe!B35</f>
        <v>2</v>
      </c>
    </row>
    <row r="6" spans="1:23" ht="13.5" x14ac:dyDescent="0.2">
      <c r="D6" s="136" t="str">
        <f>'[1]15. Spieltag'!A10</f>
        <v>M'gladbach</v>
      </c>
      <c r="E6" s="137" t="str">
        <f>'[1]15. Spieltag'!B10</f>
        <v>Bremen</v>
      </c>
      <c r="F6" s="137"/>
      <c r="G6" s="137"/>
      <c r="H6" s="137"/>
      <c r="I6" s="138">
        <v>2</v>
      </c>
      <c r="J6" s="139">
        <v>2</v>
      </c>
      <c r="K6" s="128"/>
      <c r="L6" s="223" t="s">
        <v>30</v>
      </c>
      <c r="M6" s="224"/>
      <c r="N6" s="224"/>
      <c r="O6" s="224"/>
      <c r="P6" s="213">
        <f>Ergebniseingabe!B18</f>
        <v>3</v>
      </c>
      <c r="Q6" s="214">
        <f>Ergebniseingabe!B19</f>
        <v>0</v>
      </c>
      <c r="R6" s="223" t="s">
        <v>425</v>
      </c>
      <c r="S6" s="224"/>
      <c r="T6" s="224"/>
      <c r="U6" s="224"/>
      <c r="V6" s="215">
        <f>Ergebniseingabe!B36</f>
        <v>1</v>
      </c>
      <c r="W6" s="214">
        <f>Ergebniseingabe!B37</f>
        <v>0</v>
      </c>
    </row>
    <row r="7" spans="1:23" ht="13.5" x14ac:dyDescent="0.2">
      <c r="D7" s="136" t="str">
        <f>'[1]15. Spieltag'!A11</f>
        <v>Bochum</v>
      </c>
      <c r="E7" s="137" t="str">
        <f>'[1]15. Spieltag'!B11</f>
        <v>Union Berlin</v>
      </c>
      <c r="F7" s="137"/>
      <c r="G7" s="137"/>
      <c r="H7" s="137"/>
      <c r="I7" s="138">
        <v>3</v>
      </c>
      <c r="J7" s="139">
        <v>0</v>
      </c>
      <c r="K7" s="128"/>
      <c r="L7" s="223" t="s">
        <v>426</v>
      </c>
      <c r="M7" s="224"/>
      <c r="N7" s="224"/>
      <c r="O7" s="224"/>
      <c r="P7" s="213">
        <f>Ergebniseingabe!B20</f>
        <v>0</v>
      </c>
      <c r="Q7" s="214">
        <f>Ergebniseingabe!B21</f>
        <v>1</v>
      </c>
      <c r="R7" s="223" t="s">
        <v>96</v>
      </c>
      <c r="S7" s="224"/>
      <c r="T7" s="224"/>
      <c r="U7" s="224"/>
      <c r="V7" s="215">
        <f>Ergebniseingabe!B38</f>
        <v>1</v>
      </c>
      <c r="W7" s="214">
        <f>Ergebniseingabe!B39</f>
        <v>1</v>
      </c>
    </row>
    <row r="8" spans="1:23" ht="13.5" x14ac:dyDescent="0.2">
      <c r="D8" s="136" t="str">
        <f>'[1]15. Spieltag'!A12</f>
        <v>Augsburg</v>
      </c>
      <c r="E8" s="137" t="str">
        <f>'[1]15. Spieltag'!B12</f>
        <v>Dortmund</v>
      </c>
      <c r="F8" s="137"/>
      <c r="G8" s="137"/>
      <c r="H8" s="137"/>
      <c r="I8" s="138">
        <v>1</v>
      </c>
      <c r="J8" s="139">
        <v>1</v>
      </c>
      <c r="K8" s="128"/>
      <c r="L8" s="223" t="s">
        <v>128</v>
      </c>
      <c r="M8" s="224"/>
      <c r="N8" s="224"/>
      <c r="O8" s="224"/>
      <c r="P8" s="213">
        <f>Ergebniseingabe!B22</f>
        <v>3</v>
      </c>
      <c r="Q8" s="214">
        <f>Ergebniseingabe!B23</f>
        <v>1</v>
      </c>
      <c r="R8" s="223" t="s">
        <v>129</v>
      </c>
      <c r="S8" s="224"/>
      <c r="T8" s="224"/>
      <c r="U8" s="224"/>
      <c r="V8" s="215">
        <f>Ergebniseingabe!B40</f>
        <v>2</v>
      </c>
      <c r="W8" s="214">
        <f>Ergebniseingabe!B41</f>
        <v>0</v>
      </c>
    </row>
    <row r="9" spans="1:23" ht="14.25" thickBot="1" x14ac:dyDescent="0.25">
      <c r="D9" s="140" t="str">
        <f>'[1]15. Spieltag'!A13</f>
        <v>Darmstadt</v>
      </c>
      <c r="E9" s="141" t="str">
        <f>'[1]15. Spieltag'!B13</f>
        <v>Wolfsburg</v>
      </c>
      <c r="F9" s="141"/>
      <c r="G9" s="141"/>
      <c r="H9" s="141"/>
      <c r="I9" s="170">
        <v>0</v>
      </c>
      <c r="J9" s="171">
        <v>1</v>
      </c>
      <c r="K9" s="128"/>
      <c r="L9" s="223" t="s">
        <v>265</v>
      </c>
      <c r="M9" s="224"/>
      <c r="N9" s="224"/>
      <c r="O9" s="224"/>
      <c r="P9" s="213">
        <f>Ergebniseingabe!B24</f>
        <v>3</v>
      </c>
      <c r="Q9" s="214">
        <f>Ergebniseingabe!B25</f>
        <v>0</v>
      </c>
      <c r="R9" s="223" t="s">
        <v>106</v>
      </c>
      <c r="S9" s="224"/>
      <c r="T9" s="224"/>
      <c r="U9" s="224"/>
      <c r="V9" s="215">
        <f>Ergebniseingabe!B42</f>
        <v>0</v>
      </c>
      <c r="W9" s="214">
        <f>Ergebniseingabe!B43</f>
        <v>3</v>
      </c>
    </row>
    <row r="10" spans="1:23" ht="13.5" customHeight="1" thickBot="1" x14ac:dyDescent="0.25">
      <c r="D10" s="53"/>
      <c r="G10" s="20"/>
      <c r="H10" s="11"/>
      <c r="I10" s="227">
        <f>SUM(I1:J9)</f>
        <v>23</v>
      </c>
      <c r="J10" s="227"/>
      <c r="K10" s="128"/>
      <c r="L10" s="223" t="s">
        <v>229</v>
      </c>
      <c r="M10" s="224"/>
      <c r="N10" s="224"/>
      <c r="O10" s="224"/>
      <c r="P10" s="213">
        <f>Ergebniseingabe!B26</f>
        <v>0</v>
      </c>
      <c r="Q10" s="214">
        <f>Ergebniseingabe!B27</f>
        <v>3</v>
      </c>
      <c r="R10" s="223" t="s">
        <v>120</v>
      </c>
      <c r="S10" s="224"/>
      <c r="T10" s="224"/>
      <c r="U10" s="224"/>
      <c r="V10" s="215">
        <f>Ergebniseingabe!B44</f>
        <v>0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1</v>
      </c>
      <c r="Q11" s="214">
        <f>Ergebniseingabe!B29</f>
        <v>0</v>
      </c>
      <c r="R11" s="223" t="s">
        <v>69</v>
      </c>
      <c r="S11" s="224"/>
      <c r="T11" s="224"/>
      <c r="U11" s="224"/>
      <c r="V11" s="215">
        <f>Ergebniseingabe!B46</f>
        <v>2</v>
      </c>
      <c r="W11" s="214">
        <f>Ergebniseingabe!B47</f>
        <v>2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customHeight="1" x14ac:dyDescent="0.2">
      <c r="A16" s="11"/>
      <c r="B16" s="162">
        <f>COUNTA(Spieltag!K3:AA3)</f>
        <v>1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661</v>
      </c>
      <c r="H16" s="154">
        <f t="shared" ref="H16:H21" si="0">IF(G16="x",10,0)</f>
        <v>10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20</v>
      </c>
      <c r="P16" s="155">
        <f t="shared" ref="P16:P40" si="5">IF(($P$3&lt;&gt;0),$P$3*10,-5)</f>
        <v>30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80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30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20</v>
      </c>
      <c r="P18" s="16">
        <f t="shared" si="5"/>
        <v>30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20</v>
      </c>
      <c r="P19" s="16">
        <f t="shared" si="5"/>
        <v>30</v>
      </c>
      <c r="Q19" s="16">
        <f>IF(($Q$3&lt;&gt;0),$Q$3*-10,20)</f>
        <v>20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20</v>
      </c>
      <c r="P20" s="16">
        <f t="shared" si="5"/>
        <v>30</v>
      </c>
      <c r="Q20" s="16">
        <f t="shared" ref="Q20:Q28" si="20">IF(($Q$3&lt;&gt;0),$Q$3*-10,15)</f>
        <v>15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2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661</v>
      </c>
      <c r="H21" s="15">
        <f t="shared" si="0"/>
        <v>10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20</v>
      </c>
      <c r="P21" s="16">
        <f t="shared" si="5"/>
        <v>30</v>
      </c>
      <c r="Q21" s="16">
        <f t="shared" si="20"/>
        <v>15</v>
      </c>
      <c r="R21" s="14">
        <v>1</v>
      </c>
      <c r="S21" s="15">
        <f>R21*15</f>
        <v>15</v>
      </c>
      <c r="T21" s="14"/>
      <c r="U21" s="15">
        <f t="shared" si="6"/>
        <v>0</v>
      </c>
      <c r="V21" s="16">
        <f t="shared" si="7"/>
        <v>0</v>
      </c>
      <c r="W21" s="17">
        <f t="shared" si="8"/>
        <v>90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20</v>
      </c>
      <c r="P22" s="16">
        <f t="shared" si="5"/>
        <v>30</v>
      </c>
      <c r="Q22" s="16">
        <f t="shared" si="20"/>
        <v>15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20</v>
      </c>
      <c r="P23" s="16">
        <f t="shared" si="5"/>
        <v>30</v>
      </c>
      <c r="Q23" s="16">
        <f t="shared" si="20"/>
        <v>15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30</v>
      </c>
      <c r="Q24" s="16">
        <f t="shared" si="20"/>
        <v>15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30</v>
      </c>
      <c r="Q25" s="16">
        <f t="shared" si="20"/>
        <v>15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30</v>
      </c>
      <c r="Q26" s="16">
        <f t="shared" si="20"/>
        <v>15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30</v>
      </c>
      <c r="Q27" s="16">
        <f t="shared" si="20"/>
        <v>15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30</v>
      </c>
      <c r="Q28" s="16">
        <f t="shared" si="20"/>
        <v>15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1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59</v>
      </c>
      <c r="H29" s="15">
        <f>IF(G29="x",10,0)</f>
        <v>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20</v>
      </c>
      <c r="P29" s="16">
        <f t="shared" si="5"/>
        <v>30</v>
      </c>
      <c r="Q29" s="16">
        <f t="shared" ref="Q29:Q33" si="56">IF(($Q$3&lt;&gt;0),$Q$3*-10,10)</f>
        <v>10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0</v>
      </c>
    </row>
    <row r="30" spans="1:23" ht="10.5" customHeight="1" x14ac:dyDescent="0.2">
      <c r="A30" s="11"/>
      <c r="B30" s="163">
        <f>COUNTA(Spieltag!K17:AA17)</f>
        <v>3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59</v>
      </c>
      <c r="H30" s="15">
        <f t="shared" ref="H30:H33" si="57">IF(G30="x",10,0)</f>
        <v>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20</v>
      </c>
      <c r="P30" s="16">
        <f t="shared" si="5"/>
        <v>30</v>
      </c>
      <c r="Q30" s="16">
        <f t="shared" si="56"/>
        <v>10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30</v>
      </c>
      <c r="Q31" s="16">
        <f t="shared" si="56"/>
        <v>10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customHeight="1" x14ac:dyDescent="0.2">
      <c r="A32" s="11"/>
      <c r="B32" s="163">
        <f>COUNTA(Spieltag!K19:AA19)</f>
        <v>1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 t="s">
        <v>661</v>
      </c>
      <c r="H32" s="15">
        <f t="shared" ref="H32" si="65">IF(G32="x",10,0)</f>
        <v>10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20</v>
      </c>
      <c r="P32" s="16">
        <f t="shared" si="5"/>
        <v>30</v>
      </c>
      <c r="Q32" s="16">
        <f t="shared" si="56"/>
        <v>10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70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30</v>
      </c>
      <c r="Q33" s="16">
        <f t="shared" si="56"/>
        <v>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20</v>
      </c>
      <c r="P34" s="16">
        <f t="shared" si="5"/>
        <v>30</v>
      </c>
      <c r="Q34" s="16">
        <f>IF(($Q$3&lt;&gt;0),$Q$3*-10,5)</f>
        <v>5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8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20</v>
      </c>
      <c r="P35" s="16">
        <f t="shared" si="5"/>
        <v>30</v>
      </c>
      <c r="Q35" s="16">
        <f t="shared" ref="Q35:Q40" si="77">IF(($Q$3&lt;&gt;0),$Q$3*-10,5)</f>
        <v>5</v>
      </c>
      <c r="R35" s="14">
        <v>2</v>
      </c>
      <c r="S35" s="15">
        <f t="shared" ref="S35" si="78">R35*10</f>
        <v>20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10</v>
      </c>
      <c r="W35" s="17">
        <f t="shared" ref="W35" si="81">IF(G35="x",H35+J35+L35+N35+O35+P35+Q35+S35+U35+V35,0)</f>
        <v>95</v>
      </c>
    </row>
    <row r="36" spans="1:23" ht="10.5" customHeight="1" x14ac:dyDescent="0.2">
      <c r="A36" s="11"/>
      <c r="B36" s="163">
        <f>COUNTA(Spieltag!K23:AA23)</f>
        <v>2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/>
      <c r="J36" s="15">
        <f t="shared" ref="J36:J40" si="83">IF((I36="x"),-10,0)</f>
        <v>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20</v>
      </c>
      <c r="P36" s="16">
        <f t="shared" si="5"/>
        <v>30</v>
      </c>
      <c r="Q36" s="16">
        <f t="shared" si="77"/>
        <v>5</v>
      </c>
      <c r="R36" s="14"/>
      <c r="S36" s="15">
        <f t="shared" ref="S36:S40" si="86">R36*10</f>
        <v>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65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20</v>
      </c>
      <c r="P37" s="16">
        <f t="shared" si="5"/>
        <v>30</v>
      </c>
      <c r="Q37" s="16">
        <f t="shared" si="77"/>
        <v>5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20</v>
      </c>
      <c r="P38" s="16">
        <f t="shared" si="5"/>
        <v>30</v>
      </c>
      <c r="Q38" s="16">
        <f t="shared" si="77"/>
        <v>5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30</v>
      </c>
      <c r="Q39" s="16">
        <f t="shared" si="77"/>
        <v>5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30</v>
      </c>
      <c r="Q40" s="16">
        <f t="shared" si="77"/>
        <v>5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13</v>
      </c>
      <c r="C41" s="158"/>
      <c r="D41" s="221" t="s">
        <v>32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:23" ht="10.5" customHeight="1" x14ac:dyDescent="0.2">
      <c r="A42" s="11"/>
      <c r="B42" s="149">
        <f>COUNTA(Spieltag!K29:AA29)</f>
        <v>1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 t="s">
        <v>661</v>
      </c>
      <c r="H42" s="15">
        <f>IF(G42="x",10,0)</f>
        <v>10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10</v>
      </c>
      <c r="P42" s="16">
        <f>IF(($P$5&lt;&gt;0),$P$5*10,-5)</f>
        <v>10</v>
      </c>
      <c r="Q42" s="16">
        <f>IF(($Q$5&lt;&gt;0),$Q$5*-10,20)</f>
        <v>-10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20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10</v>
      </c>
      <c r="P43" s="16">
        <f t="shared" ref="P43:P45" si="95">IF(($P$5&lt;&gt;0),$P$5*10,-5)</f>
        <v>10</v>
      </c>
      <c r="Q43" s="16">
        <f t="shared" ref="Q43:Q45" si="96">IF(($Q$5&lt;&gt;0),$Q$5*-10,20)</f>
        <v>-10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10</v>
      </c>
      <c r="P44" s="16">
        <f t="shared" si="95"/>
        <v>10</v>
      </c>
      <c r="Q44" s="16">
        <f t="shared" si="96"/>
        <v>-10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10</v>
      </c>
      <c r="P45" s="16">
        <f t="shared" si="95"/>
        <v>10</v>
      </c>
      <c r="Q45" s="16">
        <f t="shared" si="96"/>
        <v>-10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10</v>
      </c>
      <c r="P46" s="16">
        <f t="shared" ref="P46:P55" si="122">IF(($P$5&lt;&gt;0),$P$5*10,-5)</f>
        <v>10</v>
      </c>
      <c r="Q46" s="16">
        <f t="shared" ref="Q46:Q55" si="123">IF(($Q$5&lt;&gt;0),$Q$5*-10,15)</f>
        <v>-10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10</v>
      </c>
      <c r="P47" s="16">
        <f t="shared" si="122"/>
        <v>10</v>
      </c>
      <c r="Q47" s="16">
        <f t="shared" si="123"/>
        <v>-10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20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10</v>
      </c>
      <c r="P48" s="16">
        <f t="shared" si="122"/>
        <v>10</v>
      </c>
      <c r="Q48" s="16">
        <f t="shared" si="123"/>
        <v>-10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/>
      <c r="H49" s="15">
        <f t="shared" si="128"/>
        <v>0</v>
      </c>
      <c r="I49" s="14"/>
      <c r="J49" s="15">
        <f t="shared" si="129"/>
        <v>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10</v>
      </c>
      <c r="P49" s="16">
        <f t="shared" si="122"/>
        <v>10</v>
      </c>
      <c r="Q49" s="16">
        <f t="shared" si="123"/>
        <v>-10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10</v>
      </c>
      <c r="P50" s="16">
        <f t="shared" si="122"/>
        <v>10</v>
      </c>
      <c r="Q50" s="16">
        <f t="shared" si="123"/>
        <v>-10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10</v>
      </c>
      <c r="P51" s="16">
        <f t="shared" si="122"/>
        <v>10</v>
      </c>
      <c r="Q51" s="16">
        <f t="shared" si="123"/>
        <v>-10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1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661</v>
      </c>
      <c r="H52" s="15">
        <f t="shared" si="128"/>
        <v>10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10</v>
      </c>
      <c r="P52" s="16">
        <f t="shared" si="122"/>
        <v>10</v>
      </c>
      <c r="Q52" s="16">
        <f t="shared" si="123"/>
        <v>-10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20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10</v>
      </c>
      <c r="P53" s="16">
        <f t="shared" si="122"/>
        <v>10</v>
      </c>
      <c r="Q53" s="16">
        <f t="shared" si="123"/>
        <v>-10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10</v>
      </c>
      <c r="P54" s="16">
        <f t="shared" si="122"/>
        <v>10</v>
      </c>
      <c r="Q54" s="16">
        <f t="shared" si="123"/>
        <v>-10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10</v>
      </c>
      <c r="P55" s="16">
        <f t="shared" si="122"/>
        <v>10</v>
      </c>
      <c r="Q55" s="16">
        <f t="shared" si="123"/>
        <v>-10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10</v>
      </c>
      <c r="P56" s="16">
        <f t="shared" ref="P56:P72" si="157">IF(($P$5&lt;&gt;0),$P$5*10,-5)</f>
        <v>10</v>
      </c>
      <c r="Q56" s="16">
        <f t="shared" ref="Q56:Q65" si="158">IF(($Q$5&lt;&gt;0),$Q$5*-10,10)</f>
        <v>-10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10</v>
      </c>
      <c r="P57" s="16">
        <f t="shared" si="157"/>
        <v>10</v>
      </c>
      <c r="Q57" s="16">
        <f t="shared" si="158"/>
        <v>-10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10</v>
      </c>
      <c r="P58" s="16">
        <f t="shared" si="157"/>
        <v>10</v>
      </c>
      <c r="Q58" s="16">
        <f t="shared" si="158"/>
        <v>-10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2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10</v>
      </c>
      <c r="P59" s="16">
        <f t="shared" si="157"/>
        <v>10</v>
      </c>
      <c r="Q59" s="16">
        <f t="shared" si="158"/>
        <v>-10</v>
      </c>
      <c r="R59" s="14"/>
      <c r="S59" s="15">
        <f t="shared" si="159"/>
        <v>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20</v>
      </c>
    </row>
    <row r="60" spans="1:23" ht="10.5" customHeight="1" x14ac:dyDescent="0.2">
      <c r="A60" s="11" t="s">
        <v>81</v>
      </c>
      <c r="B60" s="149">
        <f>COUNTA(Spieltag!K47:AA47)</f>
        <v>3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10</v>
      </c>
      <c r="P60" s="16">
        <f t="shared" si="157"/>
        <v>10</v>
      </c>
      <c r="Q60" s="16">
        <f t="shared" si="158"/>
        <v>-10</v>
      </c>
      <c r="R60" s="14"/>
      <c r="S60" s="15">
        <f t="shared" si="159"/>
        <v>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20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10</v>
      </c>
      <c r="P61" s="16">
        <f t="shared" si="157"/>
        <v>10</v>
      </c>
      <c r="Q61" s="16">
        <f t="shared" si="158"/>
        <v>-10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hidden="1" customHeight="1" x14ac:dyDescent="0.2">
      <c r="A62" s="11" t="s">
        <v>81</v>
      </c>
      <c r="B62" s="149">
        <f>COUNTA(Spieltag!K49:AA49)</f>
        <v>0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/>
      <c r="H62" s="15">
        <f t="shared" si="152"/>
        <v>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10</v>
      </c>
      <c r="P62" s="16">
        <f t="shared" si="157"/>
        <v>10</v>
      </c>
      <c r="Q62" s="16">
        <f t="shared" si="158"/>
        <v>-10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10</v>
      </c>
      <c r="P63" s="16">
        <f t="shared" si="157"/>
        <v>10</v>
      </c>
      <c r="Q63" s="16">
        <f t="shared" si="158"/>
        <v>-10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10</v>
      </c>
      <c r="P64" s="16">
        <f t="shared" si="157"/>
        <v>10</v>
      </c>
      <c r="Q64" s="16">
        <f t="shared" si="158"/>
        <v>-10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10</v>
      </c>
      <c r="P65" s="16">
        <f t="shared" si="157"/>
        <v>10</v>
      </c>
      <c r="Q65" s="16">
        <f t="shared" si="158"/>
        <v>-10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hidden="1" customHeight="1" x14ac:dyDescent="0.2">
      <c r="A66" s="11"/>
      <c r="B66" s="149">
        <f>COUNTA(Spieltag!K53:AA53)</f>
        <v>0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/>
      <c r="H66" s="15">
        <f t="shared" ref="H66:H68" si="171">IF(G66="x",10,0)</f>
        <v>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10</v>
      </c>
      <c r="P66" s="16">
        <f t="shared" si="157"/>
        <v>10</v>
      </c>
      <c r="Q66" s="16">
        <f t="shared" ref="Q66:Q72" si="175">IF(($Q$5&lt;&gt;0),$Q$5*-10,5)</f>
        <v>-10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0</v>
      </c>
    </row>
    <row r="67" spans="1:23" ht="10.5" customHeight="1" x14ac:dyDescent="0.2">
      <c r="A67" s="11"/>
      <c r="B67" s="149">
        <f>COUNTA(Spieltag!K54:AA54)</f>
        <v>4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 t="s">
        <v>661</v>
      </c>
      <c r="H67" s="15">
        <f t="shared" ref="H67" si="180">IF(G67="x",10,0)</f>
        <v>10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10</v>
      </c>
      <c r="P67" s="16">
        <f t="shared" si="157"/>
        <v>10</v>
      </c>
      <c r="Q67" s="16">
        <f t="shared" si="175"/>
        <v>-10</v>
      </c>
      <c r="R67" s="14"/>
      <c r="S67" s="15">
        <f t="shared" ref="S67" si="184">R67*10</f>
        <v>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20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10</v>
      </c>
      <c r="P68" s="16">
        <f t="shared" si="157"/>
        <v>10</v>
      </c>
      <c r="Q68" s="16">
        <f t="shared" si="175"/>
        <v>-10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10</v>
      </c>
      <c r="P69" s="16">
        <f t="shared" si="157"/>
        <v>10</v>
      </c>
      <c r="Q69" s="16">
        <f t="shared" si="175"/>
        <v>-10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1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661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10</v>
      </c>
      <c r="P70" s="16">
        <f t="shared" si="157"/>
        <v>10</v>
      </c>
      <c r="Q70" s="16">
        <f t="shared" si="175"/>
        <v>-10</v>
      </c>
      <c r="R70" s="14">
        <v>1</v>
      </c>
      <c r="S70" s="15">
        <f t="shared" ref="S70" si="200">R70*10</f>
        <v>10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30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10</v>
      </c>
      <c r="P71" s="16">
        <f t="shared" si="157"/>
        <v>10</v>
      </c>
      <c r="Q71" s="16">
        <f t="shared" si="175"/>
        <v>-10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10</v>
      </c>
      <c r="P72" s="16">
        <f t="shared" si="157"/>
        <v>10</v>
      </c>
      <c r="Q72" s="16">
        <f t="shared" si="175"/>
        <v>-10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18</v>
      </c>
      <c r="C73" s="158"/>
      <c r="D73" s="221" t="s">
        <v>128</v>
      </c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20</v>
      </c>
      <c r="P74" s="16">
        <f t="shared" ref="P74:P95" si="205">IF(($P$8&lt;&gt;0),$P$8*10,-5)</f>
        <v>30</v>
      </c>
      <c r="Q74" s="16">
        <f>IF(($Q$8&lt;&gt;0),$Q$8*-10,20)</f>
        <v>-10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2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20</v>
      </c>
      <c r="P75" s="16">
        <f t="shared" si="205"/>
        <v>30</v>
      </c>
      <c r="Q75" s="16">
        <f>IF(($Q$8&lt;&gt;0),$Q$8*-10,20)</f>
        <v>-10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50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20</v>
      </c>
      <c r="P76" s="16">
        <f t="shared" si="205"/>
        <v>30</v>
      </c>
      <c r="Q76" s="16">
        <f t="shared" ref="Q76:Q77" si="214">IF(($Q$8&lt;&gt;0),$Q$8*-10,20)</f>
        <v>-10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20</v>
      </c>
      <c r="P77" s="16">
        <f t="shared" si="205"/>
        <v>30</v>
      </c>
      <c r="Q77" s="16">
        <f t="shared" si="214"/>
        <v>-10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20</v>
      </c>
      <c r="P78" s="16">
        <f t="shared" si="205"/>
        <v>30</v>
      </c>
      <c r="Q78" s="16">
        <f t="shared" ref="Q78:Q85" si="225">IF(($Q$8&lt;&gt;0),$Q$8*-10,15)</f>
        <v>-10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20</v>
      </c>
      <c r="P79" s="16">
        <f t="shared" si="205"/>
        <v>30</v>
      </c>
      <c r="Q79" s="16">
        <f t="shared" si="225"/>
        <v>-10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20</v>
      </c>
      <c r="P80" s="16">
        <f t="shared" si="205"/>
        <v>30</v>
      </c>
      <c r="Q80" s="16">
        <f t="shared" si="225"/>
        <v>-10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20</v>
      </c>
      <c r="P81" s="16">
        <f t="shared" si="205"/>
        <v>30</v>
      </c>
      <c r="Q81" s="16">
        <f t="shared" si="225"/>
        <v>-10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customHeight="1" x14ac:dyDescent="0.2">
      <c r="A82" s="11"/>
      <c r="B82" s="149">
        <f>COUNTA(Spieltag!K69:AA69)</f>
        <v>1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 t="s">
        <v>661</v>
      </c>
      <c r="H82" s="15">
        <f t="shared" si="235"/>
        <v>10</v>
      </c>
      <c r="I82" s="14" t="s">
        <v>661</v>
      </c>
      <c r="J82" s="15">
        <f t="shared" si="236"/>
        <v>-10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20</v>
      </c>
      <c r="P82" s="16">
        <f t="shared" si="205"/>
        <v>30</v>
      </c>
      <c r="Q82" s="16">
        <f t="shared" si="225"/>
        <v>-10</v>
      </c>
      <c r="R82" s="14">
        <v>1</v>
      </c>
      <c r="S82" s="15">
        <f t="shared" si="239"/>
        <v>15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55</v>
      </c>
    </row>
    <row r="83" spans="1:23" ht="10.5" customHeight="1" x14ac:dyDescent="0.2">
      <c r="A83" s="11"/>
      <c r="B83" s="149">
        <f>COUNTA(Spieltag!K70:AA70)</f>
        <v>5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20</v>
      </c>
      <c r="P83" s="16">
        <f t="shared" si="205"/>
        <v>30</v>
      </c>
      <c r="Q83" s="16">
        <f t="shared" si="225"/>
        <v>-10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50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20</v>
      </c>
      <c r="P84" s="16">
        <f t="shared" si="205"/>
        <v>30</v>
      </c>
      <c r="Q84" s="16">
        <f t="shared" si="225"/>
        <v>-10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1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20</v>
      </c>
      <c r="P85" s="16">
        <f t="shared" si="205"/>
        <v>30</v>
      </c>
      <c r="Q85" s="16">
        <f t="shared" si="225"/>
        <v>-10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50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20</v>
      </c>
      <c r="P86" s="16">
        <f t="shared" si="205"/>
        <v>30</v>
      </c>
      <c r="Q86" s="16">
        <f t="shared" ref="Q86:Q95" si="255">IF(($Q$8&lt;&gt;0),$Q$8*-10,10)</f>
        <v>-10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20</v>
      </c>
      <c r="P87" s="16">
        <f t="shared" si="205"/>
        <v>30</v>
      </c>
      <c r="Q87" s="16">
        <f t="shared" si="255"/>
        <v>-10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/>
      <c r="H88" s="15">
        <f t="shared" si="260"/>
        <v>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20</v>
      </c>
      <c r="P88" s="16">
        <f t="shared" si="205"/>
        <v>30</v>
      </c>
      <c r="Q88" s="16">
        <f t="shared" si="255"/>
        <v>-10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20</v>
      </c>
      <c r="P89" s="16">
        <f t="shared" si="205"/>
        <v>30</v>
      </c>
      <c r="Q89" s="16">
        <f t="shared" si="255"/>
        <v>-10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customHeight="1" x14ac:dyDescent="0.2">
      <c r="A90" s="11"/>
      <c r="B90" s="149">
        <f>COUNTA(Spieltag!K77:AA77)</f>
        <v>1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 t="s">
        <v>661</v>
      </c>
      <c r="H90" s="15">
        <f t="shared" si="260"/>
        <v>10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20</v>
      </c>
      <c r="P90" s="16">
        <f t="shared" si="205"/>
        <v>30</v>
      </c>
      <c r="Q90" s="16">
        <f t="shared" si="255"/>
        <v>-10</v>
      </c>
      <c r="R90" s="14"/>
      <c r="S90" s="15">
        <f t="shared" si="264"/>
        <v>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50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20</v>
      </c>
      <c r="P91" s="16">
        <f t="shared" si="205"/>
        <v>30</v>
      </c>
      <c r="Q91" s="16">
        <f t="shared" si="255"/>
        <v>-10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3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 t="s">
        <v>661</v>
      </c>
      <c r="J92" s="15">
        <f t="shared" si="261"/>
        <v>-10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20</v>
      </c>
      <c r="P92" s="16">
        <f t="shared" si="205"/>
        <v>30</v>
      </c>
      <c r="Q92" s="16">
        <f t="shared" si="255"/>
        <v>-10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40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20</v>
      </c>
      <c r="P93" s="16">
        <f t="shared" si="205"/>
        <v>30</v>
      </c>
      <c r="Q93" s="16">
        <f t="shared" si="255"/>
        <v>-10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20</v>
      </c>
      <c r="P94" s="16">
        <f t="shared" si="205"/>
        <v>30</v>
      </c>
      <c r="Q94" s="16">
        <f t="shared" si="255"/>
        <v>-10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2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661</v>
      </c>
      <c r="H95" s="15">
        <f t="shared" si="260"/>
        <v>10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20</v>
      </c>
      <c r="P95" s="16">
        <f t="shared" si="205"/>
        <v>30</v>
      </c>
      <c r="Q95" s="16">
        <f t="shared" si="255"/>
        <v>-10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50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20</v>
      </c>
      <c r="P96" s="16">
        <f>IF(($P$8&lt;&gt;0),$P$8*10,-5)</f>
        <v>30</v>
      </c>
      <c r="Q96" s="16">
        <f>IF(($Q$8&lt;&gt;0),$Q$8*-10,5)</f>
        <v>-10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hidden="1" customHeight="1" x14ac:dyDescent="0.2">
      <c r="A97" s="11" t="s">
        <v>156</v>
      </c>
      <c r="B97" s="149">
        <f>COUNTA(Spieltag!K84:AA84)</f>
        <v>0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/>
      <c r="H97" s="15">
        <f t="shared" ref="H97:H99" si="268">IF(G97="x",10,0)</f>
        <v>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20</v>
      </c>
      <c r="P97" s="16">
        <f t="shared" ref="P97:P99" si="273">IF(($P$8&lt;&gt;0),$P$8*10,-5)</f>
        <v>30</v>
      </c>
      <c r="Q97" s="16">
        <f t="shared" ref="Q97:Q99" si="274">IF(($Q$8&lt;&gt;0),$Q$8*-10,5)</f>
        <v>-10</v>
      </c>
      <c r="R97" s="14"/>
      <c r="S97" s="15">
        <f t="shared" ref="S97:S99" si="275">R97*10</f>
        <v>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0</v>
      </c>
    </row>
    <row r="98" spans="1:23" ht="10.5" customHeight="1" x14ac:dyDescent="0.2">
      <c r="A98" s="11" t="s">
        <v>156</v>
      </c>
      <c r="B98" s="149">
        <f>COUNTA(Spieltag!K85:AA85)</f>
        <v>3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/>
      <c r="J98" s="15">
        <f t="shared" si="269"/>
        <v>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20</v>
      </c>
      <c r="P98" s="16">
        <f t="shared" si="273"/>
        <v>30</v>
      </c>
      <c r="Q98" s="16">
        <f t="shared" si="274"/>
        <v>-10</v>
      </c>
      <c r="R98" s="14"/>
      <c r="S98" s="15">
        <f t="shared" si="275"/>
        <v>0</v>
      </c>
      <c r="T98" s="14"/>
      <c r="U98" s="15">
        <f t="shared" si="276"/>
        <v>0</v>
      </c>
      <c r="V98" s="16">
        <f t="shared" si="277"/>
        <v>0</v>
      </c>
      <c r="W98" s="17">
        <f t="shared" si="278"/>
        <v>50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20</v>
      </c>
      <c r="P99" s="16">
        <f t="shared" si="273"/>
        <v>30</v>
      </c>
      <c r="Q99" s="16">
        <f t="shared" si="274"/>
        <v>-10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hidden="1" thickBot="1" x14ac:dyDescent="0.25">
      <c r="A100" s="142"/>
      <c r="B100" s="143">
        <f>SUM(A101:B128)</f>
        <v>0</v>
      </c>
      <c r="C100" s="158"/>
      <c r="D100" s="221" t="s">
        <v>179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2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180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-30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180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-30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180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-30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180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-30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180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-30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180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-30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180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-30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hidden="1" customHeight="1" x14ac:dyDescent="0.2">
      <c r="A108" s="11"/>
      <c r="B108" s="150">
        <f>COUNTA(Spieltag!K95:AA95)</f>
        <v>0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180</v>
      </c>
      <c r="G108" s="153"/>
      <c r="H108" s="154">
        <f t="shared" ref="H108" si="315">IF(G108="x",10,0)</f>
        <v>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-30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0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180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-30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180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-30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180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-30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180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-30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180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-30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180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-30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180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-30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180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-30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180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-30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180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-30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180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-30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180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-30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180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-30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180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-30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180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-30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180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-30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180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-30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180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-30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180</v>
      </c>
      <c r="G127" s="153"/>
      <c r="H127" s="154">
        <f t="shared" si="357"/>
        <v>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-30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180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-30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SUM(B130:B157)</f>
        <v>7</v>
      </c>
      <c r="C129" s="158"/>
      <c r="D129" s="221" t="s">
        <v>129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2"/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/>
      <c r="H130" s="154">
        <f t="shared" ref="H130" si="365">IF(G130="x",10,0)</f>
        <v>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20</v>
      </c>
      <c r="P130" s="155">
        <f>IF(($V$8&lt;&gt;0),$V$8*10,-5)</f>
        <v>20</v>
      </c>
      <c r="Q130" s="155">
        <f>IF(($W$8&lt;&gt;0),$W$8*-10,20)</f>
        <v>20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20</v>
      </c>
      <c r="P131" s="155">
        <f t="shared" ref="P131:P132" si="377">IF(($V$8&lt;&gt;0),$V$8*10,-5)</f>
        <v>20</v>
      </c>
      <c r="Q131" s="155">
        <f t="shared" ref="Q131:Q132" si="378">IF(($W$8&lt;&gt;0),$W$8*-10,20)</f>
        <v>20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20</v>
      </c>
      <c r="P132" s="155">
        <f t="shared" si="377"/>
        <v>20</v>
      </c>
      <c r="Q132" s="155">
        <f t="shared" si="378"/>
        <v>20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20</v>
      </c>
      <c r="P133" s="16">
        <f t="shared" ref="P133:P157" si="388">IF(($V$8&lt;&gt;0),$V$8*10,-5)</f>
        <v>20</v>
      </c>
      <c r="Q133" s="16">
        <f t="shared" ref="Q133:Q141" si="389">IF(($W$8&lt;&gt;0),$W$8*-10,15)</f>
        <v>15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20</v>
      </c>
      <c r="P134" s="16">
        <f t="shared" si="388"/>
        <v>20</v>
      </c>
      <c r="Q134" s="16">
        <f t="shared" si="389"/>
        <v>15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20</v>
      </c>
      <c r="P135" s="16">
        <f t="shared" si="388"/>
        <v>20</v>
      </c>
      <c r="Q135" s="16">
        <f t="shared" si="389"/>
        <v>15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20</v>
      </c>
      <c r="P136" s="16">
        <f t="shared" si="388"/>
        <v>20</v>
      </c>
      <c r="Q136" s="16">
        <f t="shared" si="389"/>
        <v>15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20</v>
      </c>
      <c r="P137" s="16">
        <f t="shared" si="388"/>
        <v>20</v>
      </c>
      <c r="Q137" s="16">
        <f t="shared" si="389"/>
        <v>15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customHeight="1" x14ac:dyDescent="0.2">
      <c r="A138" s="11"/>
      <c r="B138" s="149">
        <f>COUNTA(Spieltag!K125:AA125)</f>
        <v>4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 t="s">
        <v>661</v>
      </c>
      <c r="H138" s="15">
        <f t="shared" si="394"/>
        <v>10</v>
      </c>
      <c r="I138" s="14"/>
      <c r="J138" s="15">
        <f t="shared" si="395"/>
        <v>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20</v>
      </c>
      <c r="P138" s="16">
        <f t="shared" si="388"/>
        <v>20</v>
      </c>
      <c r="Q138" s="16">
        <f t="shared" si="389"/>
        <v>15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65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20</v>
      </c>
      <c r="P139" s="16">
        <f t="shared" si="388"/>
        <v>20</v>
      </c>
      <c r="Q139" s="16">
        <f t="shared" si="389"/>
        <v>15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20</v>
      </c>
      <c r="P140" s="16">
        <f t="shared" si="388"/>
        <v>20</v>
      </c>
      <c r="Q140" s="16">
        <f t="shared" si="389"/>
        <v>15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20</v>
      </c>
      <c r="P141" s="16">
        <f t="shared" si="388"/>
        <v>20</v>
      </c>
      <c r="Q141" s="16">
        <f t="shared" si="389"/>
        <v>15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20</v>
      </c>
      <c r="P142" s="16">
        <f t="shared" si="388"/>
        <v>20</v>
      </c>
      <c r="Q142" s="16">
        <f t="shared" ref="Q142:Q152" si="414">IF(($W$8&lt;&gt;0),$W$8*-10,10)</f>
        <v>10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/>
      <c r="H143" s="15">
        <f t="shared" ref="H143:H152" si="419">IF(G143="x",10,0)</f>
        <v>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20</v>
      </c>
      <c r="P143" s="16">
        <f t="shared" si="388"/>
        <v>20</v>
      </c>
      <c r="Q143" s="16">
        <f t="shared" si="414"/>
        <v>10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20</v>
      </c>
      <c r="P144" s="16">
        <f t="shared" si="388"/>
        <v>20</v>
      </c>
      <c r="Q144" s="16">
        <f t="shared" si="414"/>
        <v>10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20</v>
      </c>
      <c r="P145" s="16">
        <f t="shared" si="388"/>
        <v>20</v>
      </c>
      <c r="Q145" s="16">
        <f t="shared" si="414"/>
        <v>10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20</v>
      </c>
      <c r="P146" s="16">
        <f t="shared" si="388"/>
        <v>20</v>
      </c>
      <c r="Q146" s="16">
        <f t="shared" si="414"/>
        <v>10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20</v>
      </c>
      <c r="P147" s="16">
        <f t="shared" si="388"/>
        <v>20</v>
      </c>
      <c r="Q147" s="16">
        <f t="shared" si="414"/>
        <v>10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customHeight="1" x14ac:dyDescent="0.2">
      <c r="A148" s="11"/>
      <c r="B148" s="149">
        <f>COUNTA(Spieltag!K135:AA135)</f>
        <v>3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 t="s">
        <v>661</v>
      </c>
      <c r="H148" s="15">
        <f t="shared" si="419"/>
        <v>10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20</v>
      </c>
      <c r="P148" s="16">
        <f t="shared" si="388"/>
        <v>20</v>
      </c>
      <c r="Q148" s="16">
        <f t="shared" si="414"/>
        <v>10</v>
      </c>
      <c r="R148" s="14"/>
      <c r="S148" s="15">
        <f t="shared" si="423"/>
        <v>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60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20</v>
      </c>
      <c r="P149" s="16">
        <f t="shared" si="388"/>
        <v>20</v>
      </c>
      <c r="Q149" s="16">
        <f t="shared" si="414"/>
        <v>10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20</v>
      </c>
      <c r="P150" s="16">
        <f t="shared" si="388"/>
        <v>20</v>
      </c>
      <c r="Q150" s="16">
        <f t="shared" si="414"/>
        <v>10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20</v>
      </c>
      <c r="P151" s="16">
        <f t="shared" si="388"/>
        <v>20</v>
      </c>
      <c r="Q151" s="16">
        <f t="shared" si="414"/>
        <v>10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20</v>
      </c>
      <c r="P152" s="16">
        <f t="shared" si="388"/>
        <v>20</v>
      </c>
      <c r="Q152" s="16">
        <f t="shared" si="414"/>
        <v>10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20</v>
      </c>
      <c r="P153" s="16">
        <f t="shared" si="388"/>
        <v>20</v>
      </c>
      <c r="Q153" s="16">
        <f>IF(($W$8&lt;&gt;0),$W$8*-10,5)</f>
        <v>5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20</v>
      </c>
      <c r="P154" s="16">
        <f t="shared" si="388"/>
        <v>20</v>
      </c>
      <c r="Q154" s="16">
        <f t="shared" ref="Q154:Q157" si="439">IF(($W$8&lt;&gt;0),$W$8*-10,5)</f>
        <v>5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20</v>
      </c>
      <c r="P155" s="16">
        <f t="shared" si="388"/>
        <v>20</v>
      </c>
      <c r="Q155" s="16">
        <f t="shared" si="439"/>
        <v>5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20</v>
      </c>
      <c r="P156" s="16">
        <f t="shared" si="388"/>
        <v>20</v>
      </c>
      <c r="Q156" s="16">
        <f t="shared" si="439"/>
        <v>5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20</v>
      </c>
      <c r="P157" s="16">
        <f t="shared" si="388"/>
        <v>20</v>
      </c>
      <c r="Q157" s="16">
        <f t="shared" si="439"/>
        <v>5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21" t="s">
        <v>62</v>
      </c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2"/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/>
      <c r="H159" s="15">
        <f t="shared" ref="H159" si="452">IF(G159="x",10,0)</f>
        <v>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20</v>
      </c>
      <c r="P159" s="16">
        <f t="shared" ref="P159:P186" si="457">IF(($P$6&lt;&gt;0),$P$6*10,-5)</f>
        <v>30</v>
      </c>
      <c r="Q159" s="16">
        <f>IF(($Q$6&lt;&gt;0),$Q$6*-10,20)</f>
        <v>20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20</v>
      </c>
      <c r="P160" s="16">
        <f t="shared" si="457"/>
        <v>30</v>
      </c>
      <c r="Q160" s="16">
        <f t="shared" ref="Q160:Q161" si="465">IF(($Q$6&lt;&gt;0),$Q$6*-10,20)</f>
        <v>20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20</v>
      </c>
      <c r="P161" s="16">
        <f t="shared" si="457"/>
        <v>30</v>
      </c>
      <c r="Q161" s="16">
        <f t="shared" si="465"/>
        <v>20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20</v>
      </c>
      <c r="P162" s="16">
        <f t="shared" si="457"/>
        <v>30</v>
      </c>
      <c r="Q162" s="16">
        <f t="shared" ref="Q162:Q172" si="478">IF(($Q$6&lt;&gt;0),$Q$6*-10,15)</f>
        <v>15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20</v>
      </c>
      <c r="P163" s="16">
        <f t="shared" si="457"/>
        <v>30</v>
      </c>
      <c r="Q163" s="16">
        <f t="shared" si="478"/>
        <v>15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3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/>
      <c r="J164" s="15">
        <f t="shared" ref="J164:J173" si="489">IF((I164="x"),-10,0)</f>
        <v>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20</v>
      </c>
      <c r="P164" s="16">
        <f t="shared" si="457"/>
        <v>30</v>
      </c>
      <c r="Q164" s="16">
        <f t="shared" si="478"/>
        <v>15</v>
      </c>
      <c r="R164" s="14"/>
      <c r="S164" s="15">
        <f t="shared" ref="S164:S172" si="492">R164*15</f>
        <v>0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75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20</v>
      </c>
      <c r="P165" s="16">
        <f t="shared" si="457"/>
        <v>30</v>
      </c>
      <c r="Q165" s="16">
        <f t="shared" si="478"/>
        <v>15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20</v>
      </c>
      <c r="P166" s="16">
        <f t="shared" si="457"/>
        <v>30</v>
      </c>
      <c r="Q166" s="16">
        <f t="shared" si="478"/>
        <v>15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20</v>
      </c>
      <c r="P167" s="16">
        <f t="shared" si="457"/>
        <v>30</v>
      </c>
      <c r="Q167" s="16">
        <f t="shared" si="478"/>
        <v>15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20</v>
      </c>
      <c r="P168" s="16">
        <f t="shared" si="457"/>
        <v>30</v>
      </c>
      <c r="Q168" s="16">
        <f t="shared" si="478"/>
        <v>15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20</v>
      </c>
      <c r="P169" s="16">
        <f t="shared" si="457"/>
        <v>30</v>
      </c>
      <c r="Q169" s="16">
        <f t="shared" si="478"/>
        <v>15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/>
      <c r="J170" s="15">
        <f t="shared" si="489"/>
        <v>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20</v>
      </c>
      <c r="P170" s="16">
        <f t="shared" si="457"/>
        <v>30</v>
      </c>
      <c r="Q170" s="16">
        <f t="shared" si="478"/>
        <v>15</v>
      </c>
      <c r="R170" s="14">
        <v>1</v>
      </c>
      <c r="S170" s="15">
        <f t="shared" si="492"/>
        <v>15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90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20</v>
      </c>
      <c r="P171" s="16">
        <f t="shared" si="457"/>
        <v>30</v>
      </c>
      <c r="Q171" s="16">
        <f t="shared" si="478"/>
        <v>15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20</v>
      </c>
      <c r="P172" s="16">
        <f t="shared" si="457"/>
        <v>30</v>
      </c>
      <c r="Q172" s="16">
        <f t="shared" si="478"/>
        <v>15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5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20</v>
      </c>
      <c r="P173" s="16">
        <f t="shared" si="457"/>
        <v>30</v>
      </c>
      <c r="Q173" s="16">
        <f t="shared" ref="Q173:Q181" si="504">IF(($Q$6&lt;&gt;0),$Q$6*-10,10)</f>
        <v>10</v>
      </c>
      <c r="R173" s="14"/>
      <c r="S173" s="15">
        <f t="shared" ref="S173:S181" si="505">R173*10</f>
        <v>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70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20</v>
      </c>
      <c r="P174" s="16">
        <f t="shared" si="457"/>
        <v>30</v>
      </c>
      <c r="Q174" s="16">
        <f t="shared" si="504"/>
        <v>10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4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20</v>
      </c>
      <c r="P175" s="16">
        <f t="shared" si="457"/>
        <v>30</v>
      </c>
      <c r="Q175" s="16">
        <f t="shared" si="504"/>
        <v>10</v>
      </c>
      <c r="R175" s="14">
        <v>1</v>
      </c>
      <c r="S175" s="15">
        <f>R175*10</f>
        <v>10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80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20</v>
      </c>
      <c r="P176" s="16">
        <f t="shared" si="457"/>
        <v>30</v>
      </c>
      <c r="Q176" s="16">
        <f t="shared" si="504"/>
        <v>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20</v>
      </c>
      <c r="P177" s="16">
        <f t="shared" si="457"/>
        <v>30</v>
      </c>
      <c r="Q177" s="16">
        <f t="shared" si="504"/>
        <v>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20</v>
      </c>
      <c r="P178" s="16">
        <f t="shared" si="457"/>
        <v>30</v>
      </c>
      <c r="Q178" s="16">
        <f t="shared" si="504"/>
        <v>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20</v>
      </c>
      <c r="P179" s="16">
        <f t="shared" si="457"/>
        <v>30</v>
      </c>
      <c r="Q179" s="16">
        <f t="shared" si="504"/>
        <v>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20</v>
      </c>
      <c r="P180" s="16">
        <f t="shared" si="457"/>
        <v>30</v>
      </c>
      <c r="Q180" s="16">
        <f t="shared" si="504"/>
        <v>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20</v>
      </c>
      <c r="P181" s="16">
        <f t="shared" si="457"/>
        <v>30</v>
      </c>
      <c r="Q181" s="16">
        <f t="shared" si="504"/>
        <v>10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20</v>
      </c>
      <c r="P182" s="16">
        <f t="shared" si="457"/>
        <v>30</v>
      </c>
      <c r="Q182" s="16">
        <f t="shared" ref="Q182:Q186" si="517">IF(($Q$6&lt;&gt;0),$Q$6*-10,5)</f>
        <v>5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20</v>
      </c>
      <c r="P183" s="16">
        <f t="shared" si="457"/>
        <v>30</v>
      </c>
      <c r="Q183" s="16">
        <f t="shared" si="517"/>
        <v>5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20</v>
      </c>
      <c r="P184" s="16">
        <f t="shared" si="457"/>
        <v>30</v>
      </c>
      <c r="Q184" s="16">
        <f t="shared" si="517"/>
        <v>5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5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20</v>
      </c>
      <c r="P185" s="16">
        <f t="shared" si="457"/>
        <v>30</v>
      </c>
      <c r="Q185" s="16">
        <f t="shared" si="517"/>
        <v>5</v>
      </c>
      <c r="R185" s="14">
        <v>1</v>
      </c>
      <c r="S185" s="15">
        <f t="shared" si="526"/>
        <v>10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75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/>
      <c r="H186" s="15">
        <f t="shared" si="522"/>
        <v>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20</v>
      </c>
      <c r="P186" s="16">
        <f t="shared" si="457"/>
        <v>30</v>
      </c>
      <c r="Q186" s="16">
        <f t="shared" si="517"/>
        <v>5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0</v>
      </c>
    </row>
    <row r="187" spans="1:23" s="144" customFormat="1" ht="17.25" thickBot="1" x14ac:dyDescent="0.25">
      <c r="A187" s="142"/>
      <c r="B187" s="143">
        <f>SUM(B188:B224)</f>
        <v>1</v>
      </c>
      <c r="C187" s="158"/>
      <c r="D187" s="221" t="s">
        <v>106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2"/>
    </row>
    <row r="188" spans="1:23" ht="10.5" customHeight="1" x14ac:dyDescent="0.2">
      <c r="A188" s="11"/>
      <c r="B188" s="150">
        <f>COUNTA(Spieltag!K175:AA175)</f>
        <v>1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661</v>
      </c>
      <c r="H188" s="154">
        <f>IF(G188="x",10,0)</f>
        <v>10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0</v>
      </c>
      <c r="P188" s="155">
        <f>IF(($V$9&lt;&gt;0),$V$9*10,-5)</f>
        <v>-5</v>
      </c>
      <c r="Q188" s="155">
        <f>IF(($W$9&lt;&gt;0),$W$9*-10,20)</f>
        <v>-30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-25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0</v>
      </c>
      <c r="P189" s="155">
        <f t="shared" ref="P189:P192" si="535">IF(($V$9&lt;&gt;0),$V$9*10,-5)</f>
        <v>-5</v>
      </c>
      <c r="Q189" s="155">
        <f t="shared" ref="Q189:Q192" si="536">IF(($W$9&lt;&gt;0),$W$9*-10,20)</f>
        <v>-30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0</v>
      </c>
      <c r="P190" s="155">
        <f t="shared" si="535"/>
        <v>-5</v>
      </c>
      <c r="Q190" s="155">
        <f t="shared" si="536"/>
        <v>-30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0</v>
      </c>
      <c r="P191" s="155">
        <f t="shared" si="535"/>
        <v>-5</v>
      </c>
      <c r="Q191" s="155">
        <f t="shared" si="536"/>
        <v>-30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0</v>
      </c>
      <c r="P192" s="155">
        <f t="shared" si="535"/>
        <v>-5</v>
      </c>
      <c r="Q192" s="155">
        <f t="shared" si="536"/>
        <v>-30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0</v>
      </c>
      <c r="P193" s="155">
        <f t="shared" ref="P193:P203" si="550">IF(($V$9&lt;&gt;0),$V$9*10,-5)</f>
        <v>-5</v>
      </c>
      <c r="Q193" s="155">
        <f t="shared" ref="Q193:Q203" si="551">IF(($W$9&lt;&gt;0),$W$9*-10,15)</f>
        <v>-30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hidden="1" customHeight="1" x14ac:dyDescent="0.2">
      <c r="A194" s="11"/>
      <c r="B194" s="150">
        <f>COUNTA(Spieltag!K181:AA181)</f>
        <v>0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/>
      <c r="H194" s="154">
        <f t="shared" ref="H194:H203" si="552">IF(G194="x",10,0)</f>
        <v>0</v>
      </c>
      <c r="I194" s="153"/>
      <c r="J194" s="154">
        <f t="shared" ref="J194:J203" si="553">IF((I194="x"),-10,0)</f>
        <v>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0</v>
      </c>
      <c r="P194" s="155">
        <f t="shared" si="550"/>
        <v>-5</v>
      </c>
      <c r="Q194" s="155">
        <f t="shared" si="551"/>
        <v>-30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0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0</v>
      </c>
      <c r="P195" s="155">
        <f t="shared" si="550"/>
        <v>-5</v>
      </c>
      <c r="Q195" s="155">
        <f t="shared" si="551"/>
        <v>-30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0</v>
      </c>
      <c r="P196" s="155">
        <f t="shared" si="550"/>
        <v>-5</v>
      </c>
      <c r="Q196" s="155">
        <f t="shared" si="551"/>
        <v>-30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0</v>
      </c>
      <c r="P197" s="155">
        <f t="shared" si="550"/>
        <v>-5</v>
      </c>
      <c r="Q197" s="155">
        <f t="shared" si="551"/>
        <v>-30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0</v>
      </c>
      <c r="P198" s="155">
        <f t="shared" si="550"/>
        <v>-5</v>
      </c>
      <c r="Q198" s="155">
        <f t="shared" si="551"/>
        <v>-30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/>
      <c r="H199" s="154">
        <f t="shared" ref="H199" si="560">IF(G199="x",10,0)</f>
        <v>0</v>
      </c>
      <c r="I199" s="153"/>
      <c r="J199" s="154">
        <f t="shared" ref="J199" si="561">IF((I199="x"),-10,0)</f>
        <v>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0</v>
      </c>
      <c r="P199" s="155">
        <f t="shared" si="550"/>
        <v>-5</v>
      </c>
      <c r="Q199" s="155">
        <f t="shared" si="551"/>
        <v>-30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0</v>
      </c>
      <c r="P200" s="155">
        <f t="shared" si="550"/>
        <v>-5</v>
      </c>
      <c r="Q200" s="155">
        <f t="shared" si="551"/>
        <v>-30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0</v>
      </c>
      <c r="P201" s="155">
        <f t="shared" si="550"/>
        <v>-5</v>
      </c>
      <c r="Q201" s="155">
        <f t="shared" si="551"/>
        <v>-30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0</v>
      </c>
      <c r="P202" s="155">
        <f t="shared" si="550"/>
        <v>-5</v>
      </c>
      <c r="Q202" s="155">
        <f t="shared" si="551"/>
        <v>-30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0</v>
      </c>
      <c r="P203" s="155">
        <f t="shared" si="550"/>
        <v>-5</v>
      </c>
      <c r="Q203" s="155">
        <f t="shared" si="551"/>
        <v>-30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0</v>
      </c>
      <c r="P204" s="155">
        <f t="shared" ref="P204:P217" si="569">IF(($V$9&lt;&gt;0),$V$9*10,-5)</f>
        <v>-5</v>
      </c>
      <c r="Q204" s="155">
        <f t="shared" ref="Q204:Q217" si="570">IF(($W$9&lt;&gt;0),$W$9*-10,10)</f>
        <v>-30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0</v>
      </c>
      <c r="P205" s="155">
        <f t="shared" si="569"/>
        <v>-5</v>
      </c>
      <c r="Q205" s="155">
        <f t="shared" si="570"/>
        <v>-30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/>
      <c r="H206" s="154">
        <f t="shared" ref="H206:H212" si="571">IF(G206="x",10,0)</f>
        <v>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0</v>
      </c>
      <c r="P206" s="155">
        <f t="shared" si="569"/>
        <v>-5</v>
      </c>
      <c r="Q206" s="155">
        <f t="shared" si="570"/>
        <v>-30</v>
      </c>
      <c r="R206" s="153"/>
      <c r="S206" s="154">
        <f t="shared" ref="S206:S212" si="575">R206*10</f>
        <v>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/>
      <c r="H207" s="154">
        <f t="shared" si="571"/>
        <v>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0</v>
      </c>
      <c r="P207" s="155">
        <f t="shared" si="569"/>
        <v>-5</v>
      </c>
      <c r="Q207" s="155">
        <f t="shared" si="570"/>
        <v>-30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0</v>
      </c>
      <c r="P208" s="155">
        <f t="shared" si="569"/>
        <v>-5</v>
      </c>
      <c r="Q208" s="155">
        <f t="shared" si="570"/>
        <v>-30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0</v>
      </c>
      <c r="P209" s="155">
        <f t="shared" si="569"/>
        <v>-5</v>
      </c>
      <c r="Q209" s="155">
        <f t="shared" si="570"/>
        <v>-30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0</v>
      </c>
      <c r="P210" s="155">
        <f t="shared" si="569"/>
        <v>-5</v>
      </c>
      <c r="Q210" s="155">
        <f t="shared" si="570"/>
        <v>-30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0</v>
      </c>
      <c r="P211" s="155">
        <f t="shared" si="569"/>
        <v>-5</v>
      </c>
      <c r="Q211" s="155">
        <f t="shared" si="570"/>
        <v>-30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0</v>
      </c>
      <c r="P212" s="155">
        <f t="shared" si="569"/>
        <v>-5</v>
      </c>
      <c r="Q212" s="155">
        <f t="shared" si="570"/>
        <v>-30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0</v>
      </c>
      <c r="P213" s="155">
        <f t="shared" si="569"/>
        <v>-5</v>
      </c>
      <c r="Q213" s="155">
        <f t="shared" si="570"/>
        <v>-30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0</v>
      </c>
      <c r="P214" s="155">
        <f t="shared" si="569"/>
        <v>-5</v>
      </c>
      <c r="Q214" s="155">
        <f t="shared" si="570"/>
        <v>-30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0</v>
      </c>
      <c r="P215" s="155">
        <f t="shared" si="569"/>
        <v>-5</v>
      </c>
      <c r="Q215" s="155">
        <f t="shared" si="570"/>
        <v>-30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0</v>
      </c>
      <c r="P216" s="155">
        <f t="shared" si="569"/>
        <v>-5</v>
      </c>
      <c r="Q216" s="155">
        <f t="shared" si="570"/>
        <v>-30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0</v>
      </c>
      <c r="P217" s="155">
        <f t="shared" si="569"/>
        <v>-5</v>
      </c>
      <c r="Q217" s="155">
        <f t="shared" si="570"/>
        <v>-30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/>
      <c r="H218" s="154">
        <f t="shared" ref="H218" si="603">IF(G218="x",10,0)</f>
        <v>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0</v>
      </c>
      <c r="P218" s="155">
        <f t="shared" ref="P218:P224" si="608">IF(($V$9&lt;&gt;0),$V$9*10,-5)</f>
        <v>-5</v>
      </c>
      <c r="Q218" s="155">
        <f t="shared" ref="Q218:Q224" si="609">IF(($W$9&lt;&gt;0),$W$9*-10,5)</f>
        <v>-30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0</v>
      </c>
      <c r="P219" s="155">
        <f t="shared" si="608"/>
        <v>-5</v>
      </c>
      <c r="Q219" s="155">
        <f t="shared" si="609"/>
        <v>-30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0</v>
      </c>
      <c r="P220" s="155">
        <f t="shared" si="608"/>
        <v>-5</v>
      </c>
      <c r="Q220" s="155">
        <f t="shared" si="609"/>
        <v>-30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0</v>
      </c>
      <c r="P221" s="155">
        <f t="shared" si="608"/>
        <v>-5</v>
      </c>
      <c r="Q221" s="155">
        <f t="shared" si="609"/>
        <v>-30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0</v>
      </c>
      <c r="P222" s="155">
        <f t="shared" si="608"/>
        <v>-5</v>
      </c>
      <c r="Q222" s="155">
        <f t="shared" si="609"/>
        <v>-30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0</v>
      </c>
      <c r="P223" s="155">
        <f t="shared" si="608"/>
        <v>-5</v>
      </c>
      <c r="Q223" s="155">
        <f t="shared" si="609"/>
        <v>-30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0</v>
      </c>
      <c r="P224" s="155">
        <f t="shared" si="608"/>
        <v>-5</v>
      </c>
      <c r="Q224" s="155">
        <f t="shared" si="609"/>
        <v>-30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thickBot="1" x14ac:dyDescent="0.25">
      <c r="A225" s="142"/>
      <c r="B225" s="143">
        <f>SUM(B226:B253)</f>
        <v>13</v>
      </c>
      <c r="C225" s="158"/>
      <c r="D225" s="221" t="s">
        <v>31</v>
      </c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2"/>
    </row>
    <row r="226" spans="1:23" ht="10.5" customHeight="1" x14ac:dyDescent="0.2">
      <c r="A226" s="11"/>
      <c r="B226" s="149">
        <f>COUNTA(Spieltag!K213:AA213)</f>
        <v>3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 t="s">
        <v>661</v>
      </c>
      <c r="H226" s="15">
        <f>IF(G226="x",10,0)</f>
        <v>10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20</v>
      </c>
      <c r="P226" s="16">
        <f t="shared" ref="P226:P248" si="639">IF(($P$11&lt;&gt;0),$P$11*10,-5)</f>
        <v>10</v>
      </c>
      <c r="Q226" s="16">
        <f>IF(($Q$11&lt;&gt;0),$Q$11*-10,20)</f>
        <v>20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60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/>
      <c r="H227" s="15">
        <f t="shared" ref="H227:H229" si="640">IF(G227="x",10,0)</f>
        <v>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20</v>
      </c>
      <c r="P227" s="16">
        <f t="shared" si="639"/>
        <v>10</v>
      </c>
      <c r="Q227" s="16">
        <f t="shared" ref="Q227:Q229" si="644">IF(($Q$11&lt;&gt;0),$Q$11*-10,20)</f>
        <v>20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20</v>
      </c>
      <c r="P228" s="16">
        <f t="shared" si="639"/>
        <v>10</v>
      </c>
      <c r="Q228" s="16">
        <f t="shared" si="644"/>
        <v>20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20</v>
      </c>
      <c r="P229" s="16">
        <f t="shared" si="639"/>
        <v>10</v>
      </c>
      <c r="Q229" s="16">
        <f t="shared" si="644"/>
        <v>20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20</v>
      </c>
      <c r="P230" s="16">
        <f t="shared" si="639"/>
        <v>10</v>
      </c>
      <c r="Q230" s="16">
        <f t="shared" ref="Q230:Q238" si="653">IF(($Q$11&lt;&gt;0),$Q$11*-10,15)</f>
        <v>15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20</v>
      </c>
      <c r="P231" s="16">
        <f t="shared" si="639"/>
        <v>10</v>
      </c>
      <c r="Q231" s="16">
        <f t="shared" si="653"/>
        <v>15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customHeight="1" x14ac:dyDescent="0.2">
      <c r="A232" s="11"/>
      <c r="B232" s="149">
        <f>COUNTA(Spieltag!K219:AA219)</f>
        <v>2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 t="s">
        <v>661</v>
      </c>
      <c r="H232" s="15">
        <f t="shared" si="658"/>
        <v>10</v>
      </c>
      <c r="I232" s="14"/>
      <c r="J232" s="15">
        <f t="shared" si="659"/>
        <v>0</v>
      </c>
      <c r="K232" s="14"/>
      <c r="L232" s="15">
        <f t="shared" si="660"/>
        <v>0</v>
      </c>
      <c r="M232" s="14" t="s">
        <v>661</v>
      </c>
      <c r="N232" s="15">
        <f t="shared" si="661"/>
        <v>-30</v>
      </c>
      <c r="O232" s="16">
        <f t="shared" si="638"/>
        <v>20</v>
      </c>
      <c r="P232" s="16">
        <f t="shared" si="639"/>
        <v>10</v>
      </c>
      <c r="Q232" s="16">
        <f t="shared" si="653"/>
        <v>15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25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20</v>
      </c>
      <c r="P233" s="16">
        <f t="shared" si="639"/>
        <v>10</v>
      </c>
      <c r="Q233" s="16">
        <f t="shared" si="653"/>
        <v>15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20</v>
      </c>
      <c r="P234" s="16">
        <f t="shared" si="639"/>
        <v>10</v>
      </c>
      <c r="Q234" s="16">
        <f t="shared" si="653"/>
        <v>15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20</v>
      </c>
      <c r="P235" s="16">
        <f t="shared" si="639"/>
        <v>10</v>
      </c>
      <c r="Q235" s="16">
        <f t="shared" si="653"/>
        <v>15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customHeight="1" x14ac:dyDescent="0.2">
      <c r="A236" s="11"/>
      <c r="B236" s="149">
        <f>COUNTA(Spieltag!K223:AA223)</f>
        <v>1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 t="s">
        <v>661</v>
      </c>
      <c r="H236" s="15">
        <f t="shared" ref="H236" si="666">IF(G236="x",10,0)</f>
        <v>10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20</v>
      </c>
      <c r="P236" s="16">
        <f t="shared" si="639"/>
        <v>10</v>
      </c>
      <c r="Q236" s="16">
        <f t="shared" si="653"/>
        <v>15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55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20</v>
      </c>
      <c r="P237" s="16">
        <f t="shared" si="639"/>
        <v>10</v>
      </c>
      <c r="Q237" s="16">
        <f t="shared" si="653"/>
        <v>15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20</v>
      </c>
      <c r="P238" s="16">
        <f t="shared" si="639"/>
        <v>10</v>
      </c>
      <c r="Q238" s="16">
        <f t="shared" si="653"/>
        <v>15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20</v>
      </c>
      <c r="P239" s="16">
        <f t="shared" si="639"/>
        <v>10</v>
      </c>
      <c r="Q239" s="16">
        <f t="shared" ref="Q239:Q248" si="678">IF(($Q$11&lt;&gt;0),$Q$11*-10,10)</f>
        <v>10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20</v>
      </c>
      <c r="P240" s="16">
        <f t="shared" si="639"/>
        <v>10</v>
      </c>
      <c r="Q240" s="16">
        <f t="shared" si="678"/>
        <v>10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20</v>
      </c>
      <c r="P241" s="16">
        <f t="shared" si="639"/>
        <v>10</v>
      </c>
      <c r="Q241" s="16">
        <f t="shared" si="678"/>
        <v>10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customHeight="1" x14ac:dyDescent="0.2">
      <c r="A242" s="11"/>
      <c r="B242" s="149">
        <f>COUNTA(Spieltag!K229:AA229)</f>
        <v>1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 t="s">
        <v>661</v>
      </c>
      <c r="H242" s="15">
        <f t="shared" ref="H242" si="691">IF(G242="x",10,0)</f>
        <v>10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20</v>
      </c>
      <c r="P242" s="16">
        <f t="shared" si="639"/>
        <v>10</v>
      </c>
      <c r="Q242" s="16">
        <f t="shared" si="678"/>
        <v>10</v>
      </c>
      <c r="R242" s="14">
        <v>1</v>
      </c>
      <c r="S242" s="15">
        <f t="shared" ref="S242" si="695">R242*10</f>
        <v>10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60</v>
      </c>
    </row>
    <row r="243" spans="1:23" ht="10.5" customHeight="1" x14ac:dyDescent="0.2">
      <c r="A243" s="11"/>
      <c r="B243" s="149">
        <f>COUNTA(Spieltag!K230:AA230)</f>
        <v>2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 t="s">
        <v>661</v>
      </c>
      <c r="H243" s="15">
        <f t="shared" si="683"/>
        <v>10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20</v>
      </c>
      <c r="P243" s="16">
        <f t="shared" si="639"/>
        <v>10</v>
      </c>
      <c r="Q243" s="16">
        <f t="shared" si="678"/>
        <v>10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50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/>
      <c r="H244" s="15">
        <f t="shared" si="683"/>
        <v>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20</v>
      </c>
      <c r="P244" s="16">
        <f t="shared" si="639"/>
        <v>10</v>
      </c>
      <c r="Q244" s="16">
        <f t="shared" si="678"/>
        <v>10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0</v>
      </c>
    </row>
    <row r="245" spans="1:23" ht="10.5" customHeight="1" x14ac:dyDescent="0.2">
      <c r="A245" s="11"/>
      <c r="B245" s="149">
        <f>COUNTA(Spieltag!K232:AA232)</f>
        <v>3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 t="s">
        <v>661</v>
      </c>
      <c r="H245" s="15">
        <f t="shared" si="683"/>
        <v>10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20</v>
      </c>
      <c r="P245" s="16">
        <f t="shared" si="639"/>
        <v>10</v>
      </c>
      <c r="Q245" s="16">
        <f t="shared" si="678"/>
        <v>10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50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20</v>
      </c>
      <c r="P246" s="16">
        <f t="shared" si="639"/>
        <v>10</v>
      </c>
      <c r="Q246" s="16">
        <f t="shared" si="678"/>
        <v>10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20</v>
      </c>
      <c r="P247" s="16">
        <f t="shared" si="639"/>
        <v>10</v>
      </c>
      <c r="Q247" s="16">
        <f t="shared" si="678"/>
        <v>10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20</v>
      </c>
      <c r="P248" s="16">
        <f t="shared" si="639"/>
        <v>10</v>
      </c>
      <c r="Q248" s="16">
        <f t="shared" si="678"/>
        <v>10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20</v>
      </c>
      <c r="P249" s="16">
        <f t="shared" ref="P249:P253" si="700">IF(($P$11&lt;&gt;0),$P$11*10,-5)</f>
        <v>10</v>
      </c>
      <c r="Q249" s="16">
        <f t="shared" ref="Q249:Q253" si="701">IF(($Q$11&lt;&gt;0),$Q$11*-10,5)</f>
        <v>5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20</v>
      </c>
      <c r="P250" s="16">
        <f t="shared" si="700"/>
        <v>10</v>
      </c>
      <c r="Q250" s="16">
        <f t="shared" si="701"/>
        <v>5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20</v>
      </c>
      <c r="P251" s="16">
        <f t="shared" si="700"/>
        <v>10</v>
      </c>
      <c r="Q251" s="16">
        <f t="shared" si="701"/>
        <v>5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20</v>
      </c>
      <c r="P252" s="16">
        <f t="shared" si="700"/>
        <v>10</v>
      </c>
      <c r="Q252" s="16">
        <f t="shared" si="701"/>
        <v>5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customHeight="1" x14ac:dyDescent="0.2">
      <c r="A253" s="11"/>
      <c r="B253" s="149">
        <f>COUNTA(Spieltag!K240:AA240)</f>
        <v>1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 t="s">
        <v>661</v>
      </c>
      <c r="H253" s="15">
        <f t="shared" si="710"/>
        <v>10</v>
      </c>
      <c r="I253" s="14"/>
      <c r="J253" s="15">
        <f t="shared" si="711"/>
        <v>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20</v>
      </c>
      <c r="P253" s="16">
        <f t="shared" si="700"/>
        <v>10</v>
      </c>
      <c r="Q253" s="16">
        <f t="shared" si="701"/>
        <v>5</v>
      </c>
      <c r="R253" s="14"/>
      <c r="S253" s="15">
        <f t="shared" si="714"/>
        <v>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45</v>
      </c>
    </row>
    <row r="254" spans="1:23" s="144" customFormat="1" ht="17.25" thickBot="1" x14ac:dyDescent="0.25">
      <c r="A254" s="142"/>
      <c r="B254" s="143">
        <f>SUM(B255:B281)</f>
        <v>2</v>
      </c>
      <c r="C254" s="158"/>
      <c r="D254" s="221" t="s">
        <v>120</v>
      </c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2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0</v>
      </c>
      <c r="P255" s="16">
        <f t="shared" ref="P255:P281" si="723">IF(($V$10&lt;&gt;0),$V$10*10,-5)</f>
        <v>-5</v>
      </c>
      <c r="Q255" s="16">
        <f t="shared" ref="Q255:Q257" si="724">IF(($W$10&lt;&gt;0),$W$10*-10,20)</f>
        <v>-10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0</v>
      </c>
      <c r="P256" s="16">
        <f t="shared" si="723"/>
        <v>-5</v>
      </c>
      <c r="Q256" s="16">
        <f t="shared" si="724"/>
        <v>-10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customHeight="1" x14ac:dyDescent="0.2">
      <c r="A257" s="11"/>
      <c r="B257" s="149">
        <f>COUNTA(Spieltag!K244:AA244)</f>
        <v>1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 t="s">
        <v>661</v>
      </c>
      <c r="H257" s="15">
        <f t="shared" si="729"/>
        <v>10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0</v>
      </c>
      <c r="P257" s="16">
        <f t="shared" si="723"/>
        <v>-5</v>
      </c>
      <c r="Q257" s="16">
        <f t="shared" si="724"/>
        <v>-10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-5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0</v>
      </c>
      <c r="P258" s="16">
        <f t="shared" si="723"/>
        <v>-5</v>
      </c>
      <c r="Q258" s="16">
        <f t="shared" ref="Q258:Q266" si="737">IF(($W$10&lt;&gt;0),$W$10*-10,15)</f>
        <v>-10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0</v>
      </c>
      <c r="P259" s="16">
        <f t="shared" si="723"/>
        <v>-5</v>
      </c>
      <c r="Q259" s="16">
        <f t="shared" si="737"/>
        <v>-10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0</v>
      </c>
      <c r="P260" s="16">
        <f t="shared" si="723"/>
        <v>-5</v>
      </c>
      <c r="Q260" s="16">
        <f t="shared" si="737"/>
        <v>-10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0</v>
      </c>
      <c r="P261" s="16">
        <f t="shared" si="723"/>
        <v>-5</v>
      </c>
      <c r="Q261" s="16">
        <f t="shared" si="737"/>
        <v>-10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0</v>
      </c>
      <c r="P262" s="16">
        <f t="shared" si="723"/>
        <v>-5</v>
      </c>
      <c r="Q262" s="16">
        <f t="shared" si="737"/>
        <v>-10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0</v>
      </c>
      <c r="P263" s="16">
        <f t="shared" si="723"/>
        <v>-5</v>
      </c>
      <c r="Q263" s="16">
        <f t="shared" si="737"/>
        <v>-10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0</v>
      </c>
      <c r="P264" s="16">
        <f t="shared" si="723"/>
        <v>-5</v>
      </c>
      <c r="Q264" s="16">
        <f t="shared" si="737"/>
        <v>-10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0</v>
      </c>
      <c r="P265" s="16">
        <f t="shared" si="723"/>
        <v>-5</v>
      </c>
      <c r="Q265" s="16">
        <f t="shared" si="737"/>
        <v>-10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0</v>
      </c>
      <c r="P266" s="16">
        <f t="shared" si="723"/>
        <v>-5</v>
      </c>
      <c r="Q266" s="16">
        <f t="shared" si="737"/>
        <v>-10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0</v>
      </c>
      <c r="P267" s="16">
        <f t="shared" si="723"/>
        <v>-5</v>
      </c>
      <c r="Q267" s="16">
        <f t="shared" ref="Q267:Q275" si="759">IF(($W$10&lt;&gt;0),$W$10*-10,10)</f>
        <v>-10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0</v>
      </c>
      <c r="P268" s="16">
        <f t="shared" si="723"/>
        <v>-5</v>
      </c>
      <c r="Q268" s="16">
        <f t="shared" si="759"/>
        <v>-10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0</v>
      </c>
      <c r="P269" s="16">
        <f t="shared" si="723"/>
        <v>-5</v>
      </c>
      <c r="Q269" s="16">
        <f t="shared" si="759"/>
        <v>-10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0</v>
      </c>
      <c r="P270" s="16">
        <f t="shared" si="723"/>
        <v>-5</v>
      </c>
      <c r="Q270" s="16">
        <f t="shared" si="759"/>
        <v>-10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0</v>
      </c>
      <c r="P271" s="16">
        <f t="shared" si="723"/>
        <v>-5</v>
      </c>
      <c r="Q271" s="16">
        <f t="shared" si="759"/>
        <v>-10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0</v>
      </c>
      <c r="P272" s="16">
        <f t="shared" si="723"/>
        <v>-5</v>
      </c>
      <c r="Q272" s="16">
        <f t="shared" si="759"/>
        <v>-10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0</v>
      </c>
      <c r="P273" s="16">
        <f t="shared" si="723"/>
        <v>-5</v>
      </c>
      <c r="Q273" s="16">
        <f t="shared" si="759"/>
        <v>-10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0</v>
      </c>
      <c r="P274" s="16">
        <f t="shared" si="723"/>
        <v>-5</v>
      </c>
      <c r="Q274" s="16">
        <f t="shared" si="759"/>
        <v>-10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0</v>
      </c>
      <c r="P275" s="16">
        <f t="shared" si="723"/>
        <v>-5</v>
      </c>
      <c r="Q275" s="16">
        <f t="shared" si="759"/>
        <v>-10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0</v>
      </c>
      <c r="P276" s="16">
        <f t="shared" si="723"/>
        <v>-5</v>
      </c>
      <c r="Q276" s="16">
        <f>IF(($W$10&lt;&gt;0),$W$10*-10,5)</f>
        <v>-10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0</v>
      </c>
      <c r="P277" s="16">
        <f t="shared" si="723"/>
        <v>-5</v>
      </c>
      <c r="Q277" s="16">
        <f t="shared" ref="Q277:Q281" si="791">IF(($W$10&lt;&gt;0),$W$10*-10,5)</f>
        <v>-10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customHeight="1" x14ac:dyDescent="0.2">
      <c r="A278" s="11"/>
      <c r="B278" s="149">
        <f>COUNTA(Spieltag!K265:AA265)</f>
        <v>1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 t="s">
        <v>661</v>
      </c>
      <c r="H278" s="15">
        <f t="shared" ref="H278:H279" si="796">IF(G278="x",10,0)</f>
        <v>10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0</v>
      </c>
      <c r="P278" s="16">
        <f t="shared" si="723"/>
        <v>-5</v>
      </c>
      <c r="Q278" s="16">
        <f t="shared" si="791"/>
        <v>-10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-5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0</v>
      </c>
      <c r="P279" s="16">
        <f t="shared" si="723"/>
        <v>-5</v>
      </c>
      <c r="Q279" s="16">
        <f t="shared" si="791"/>
        <v>-10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0</v>
      </c>
      <c r="P280" s="16">
        <f t="shared" si="723"/>
        <v>-5</v>
      </c>
      <c r="Q280" s="16">
        <f t="shared" si="791"/>
        <v>-10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0</v>
      </c>
      <c r="P281" s="16">
        <f t="shared" si="723"/>
        <v>-5</v>
      </c>
      <c r="Q281" s="16">
        <f t="shared" si="791"/>
        <v>-10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thickBot="1" x14ac:dyDescent="0.25">
      <c r="A282" s="142"/>
      <c r="B282" s="143">
        <f>SUM(B283:B313)</f>
        <v>7</v>
      </c>
      <c r="C282" s="158"/>
      <c r="D282" s="221" t="s">
        <v>73</v>
      </c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2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10</v>
      </c>
      <c r="P283" s="16">
        <f>IF(($V$11&lt;&gt;0),$V$11*10,-5)</f>
        <v>20</v>
      </c>
      <c r="Q283" s="16">
        <f>IF(($W$11&lt;&gt;0),$W$11*-10,20)</f>
        <v>-20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10</v>
      </c>
      <c r="P284" s="16">
        <f t="shared" ref="P284:P287" si="809">IF(($V$11&lt;&gt;0),$V$11*10,-5)</f>
        <v>20</v>
      </c>
      <c r="Q284" s="16">
        <f t="shared" ref="Q284:Q287" si="810">IF(($W$11&lt;&gt;0),$W$11*-10,20)</f>
        <v>-20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10</v>
      </c>
      <c r="P285" s="16">
        <f t="shared" si="809"/>
        <v>20</v>
      </c>
      <c r="Q285" s="16">
        <f t="shared" si="810"/>
        <v>-20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10</v>
      </c>
      <c r="P286" s="16">
        <f t="shared" si="809"/>
        <v>20</v>
      </c>
      <c r="Q286" s="16">
        <f t="shared" si="810"/>
        <v>-20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10</v>
      </c>
      <c r="P287" s="16">
        <f t="shared" si="809"/>
        <v>20</v>
      </c>
      <c r="Q287" s="16">
        <f t="shared" si="810"/>
        <v>-20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10</v>
      </c>
      <c r="P288" s="16">
        <f t="shared" ref="P288:P298" si="828">IF(($V$11&lt;&gt;0),$V$11*10,-5)</f>
        <v>20</v>
      </c>
      <c r="Q288" s="16">
        <f t="shared" ref="Q288:Q298" si="829">IF(($W$11&lt;&gt;0),$W$11*-15,15)</f>
        <v>-30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/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10</v>
      </c>
      <c r="P289" s="16">
        <f t="shared" si="828"/>
        <v>20</v>
      </c>
      <c r="Q289" s="16">
        <f t="shared" si="829"/>
        <v>-30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10</v>
      </c>
      <c r="P290" s="16">
        <f t="shared" si="828"/>
        <v>20</v>
      </c>
      <c r="Q290" s="16">
        <f t="shared" si="829"/>
        <v>-30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10</v>
      </c>
      <c r="P291" s="16">
        <f t="shared" si="828"/>
        <v>20</v>
      </c>
      <c r="Q291" s="16">
        <f t="shared" si="829"/>
        <v>-30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customHeight="1" x14ac:dyDescent="0.2">
      <c r="A292" s="11"/>
      <c r="B292" s="149">
        <f>COUNTA(Spieltag!K279:AA279)</f>
        <v>1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 t="s">
        <v>661</v>
      </c>
      <c r="H292" s="15">
        <f t="shared" si="834"/>
        <v>10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10</v>
      </c>
      <c r="P292" s="16">
        <f t="shared" si="828"/>
        <v>20</v>
      </c>
      <c r="Q292" s="16">
        <f t="shared" si="829"/>
        <v>-30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10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10</v>
      </c>
      <c r="P293" s="16">
        <f t="shared" si="828"/>
        <v>20</v>
      </c>
      <c r="Q293" s="16">
        <f t="shared" si="829"/>
        <v>-30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10</v>
      </c>
      <c r="P294" s="16">
        <f t="shared" si="828"/>
        <v>20</v>
      </c>
      <c r="Q294" s="16">
        <f t="shared" si="829"/>
        <v>-30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10</v>
      </c>
      <c r="P295" s="16">
        <f t="shared" si="828"/>
        <v>20</v>
      </c>
      <c r="Q295" s="16">
        <f t="shared" si="829"/>
        <v>-30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customHeight="1" x14ac:dyDescent="0.2">
      <c r="A296" s="11"/>
      <c r="B296" s="149">
        <f>COUNTA(Spieltag!K283:AA283)</f>
        <v>3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 t="s">
        <v>661</v>
      </c>
      <c r="H296" s="15">
        <f t="shared" si="834"/>
        <v>10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10</v>
      </c>
      <c r="P296" s="16">
        <f t="shared" si="828"/>
        <v>20</v>
      </c>
      <c r="Q296" s="16">
        <f t="shared" si="829"/>
        <v>-30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10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10</v>
      </c>
      <c r="P297" s="16">
        <f t="shared" si="828"/>
        <v>20</v>
      </c>
      <c r="Q297" s="16">
        <f t="shared" si="829"/>
        <v>-30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10</v>
      </c>
      <c r="P298" s="16">
        <f t="shared" si="828"/>
        <v>20</v>
      </c>
      <c r="Q298" s="16">
        <f t="shared" si="829"/>
        <v>-30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customHeight="1" x14ac:dyDescent="0.2">
      <c r="A299" s="11"/>
      <c r="B299" s="149">
        <f>COUNTA(Spieltag!K286:AA286)</f>
        <v>1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 t="s">
        <v>661</v>
      </c>
      <c r="H299" s="15">
        <f t="shared" ref="H299" si="842">IF(G299="x",10,0)</f>
        <v>10</v>
      </c>
      <c r="I299" s="14" t="s">
        <v>661</v>
      </c>
      <c r="J299" s="15">
        <f t="shared" ref="J299" si="843">IF((I299="x"),-10,0)</f>
        <v>-10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10</v>
      </c>
      <c r="P299" s="16">
        <f t="shared" ref="P299:P313" si="847">IF(($V$11&lt;&gt;0),$V$11*10,-5)</f>
        <v>20</v>
      </c>
      <c r="Q299" s="16">
        <f t="shared" ref="Q299:Q307" si="848">IF(($W$11&lt;&gt;0),$W$11*-10,10)</f>
        <v>-20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10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10</v>
      </c>
      <c r="P300" s="16">
        <f t="shared" si="847"/>
        <v>20</v>
      </c>
      <c r="Q300" s="16">
        <f t="shared" si="848"/>
        <v>-20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/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10</v>
      </c>
      <c r="P301" s="16">
        <f t="shared" si="847"/>
        <v>20</v>
      </c>
      <c r="Q301" s="16">
        <f t="shared" si="848"/>
        <v>-20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10</v>
      </c>
      <c r="P302" s="16">
        <f t="shared" si="847"/>
        <v>20</v>
      </c>
      <c r="Q302" s="16">
        <f t="shared" si="848"/>
        <v>-20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10</v>
      </c>
      <c r="P303" s="16">
        <f t="shared" si="847"/>
        <v>20</v>
      </c>
      <c r="Q303" s="16">
        <f t="shared" si="848"/>
        <v>-20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10</v>
      </c>
      <c r="P304" s="16">
        <f t="shared" si="847"/>
        <v>20</v>
      </c>
      <c r="Q304" s="16">
        <f t="shared" si="848"/>
        <v>-20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10</v>
      </c>
      <c r="P305" s="16">
        <f t="shared" si="847"/>
        <v>20</v>
      </c>
      <c r="Q305" s="16">
        <f t="shared" si="848"/>
        <v>-20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10</v>
      </c>
      <c r="P306" s="16">
        <f t="shared" si="847"/>
        <v>20</v>
      </c>
      <c r="Q306" s="16">
        <f t="shared" si="848"/>
        <v>-20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10</v>
      </c>
      <c r="P307" s="16">
        <f t="shared" si="847"/>
        <v>20</v>
      </c>
      <c r="Q307" s="16">
        <f t="shared" si="848"/>
        <v>-20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10</v>
      </c>
      <c r="P308" s="16">
        <f t="shared" si="847"/>
        <v>20</v>
      </c>
      <c r="Q308" s="16">
        <f>IF(($W$11&lt;&gt;0),$W$11*-10,5)</f>
        <v>-20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10</v>
      </c>
      <c r="P309" s="16">
        <f t="shared" si="847"/>
        <v>20</v>
      </c>
      <c r="Q309" s="16">
        <f t="shared" ref="Q309:Q313" si="867">IF(($W$11&lt;&gt;0),$W$11*-10,5)</f>
        <v>-20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customHeight="1" x14ac:dyDescent="0.2">
      <c r="A310" s="11"/>
      <c r="B310" s="149">
        <f>COUNTA(Spieltag!K297:AA297)</f>
        <v>2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 t="s">
        <v>661</v>
      </c>
      <c r="H310" s="15">
        <f t="shared" ref="H310:H313" si="868">IF(G310="x",10,0)</f>
        <v>10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10</v>
      </c>
      <c r="P310" s="16">
        <f t="shared" si="847"/>
        <v>20</v>
      </c>
      <c r="Q310" s="16">
        <f t="shared" si="867"/>
        <v>-20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20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10</v>
      </c>
      <c r="P311" s="16">
        <f t="shared" si="847"/>
        <v>20</v>
      </c>
      <c r="Q311" s="16">
        <f t="shared" si="867"/>
        <v>-20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10</v>
      </c>
      <c r="P312" s="16">
        <f t="shared" si="847"/>
        <v>20</v>
      </c>
      <c r="Q312" s="16">
        <f t="shared" si="867"/>
        <v>-20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10</v>
      </c>
      <c r="P313" s="16">
        <f t="shared" si="847"/>
        <v>20</v>
      </c>
      <c r="Q313" s="16">
        <f t="shared" si="867"/>
        <v>-20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hidden="1" thickBot="1" x14ac:dyDescent="0.25">
      <c r="A314" s="142"/>
      <c r="B314" s="143">
        <f>SUM(B315:B345)</f>
        <v>0</v>
      </c>
      <c r="C314" s="158"/>
      <c r="D314" s="221" t="s">
        <v>183</v>
      </c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2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178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0</v>
      </c>
      <c r="P315" s="155">
        <f t="shared" ref="P315:P328" si="877">IF(($V$5&lt;&gt;0),$V$5*10,-5)</f>
        <v>-5</v>
      </c>
      <c r="Q315" s="155">
        <f>IF(($W$5&lt;&gt;0),$W$5*-10,20)</f>
        <v>-20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178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0</v>
      </c>
      <c r="P316" s="155">
        <f t="shared" si="877"/>
        <v>-5</v>
      </c>
      <c r="Q316" s="155">
        <f t="shared" ref="Q316:Q318" si="882">IF(($W$5&lt;&gt;0),$W$5*-10,20)</f>
        <v>-20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178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0</v>
      </c>
      <c r="P317" s="155">
        <f t="shared" si="877"/>
        <v>-5</v>
      </c>
      <c r="Q317" s="155">
        <f t="shared" si="882"/>
        <v>-20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178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0</v>
      </c>
      <c r="P318" s="155">
        <f t="shared" si="877"/>
        <v>-5</v>
      </c>
      <c r="Q318" s="155">
        <f t="shared" si="882"/>
        <v>-20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178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0</v>
      </c>
      <c r="P319" s="155">
        <f t="shared" si="877"/>
        <v>-5</v>
      </c>
      <c r="Q319" s="155">
        <f t="shared" ref="Q319:Q328" si="895">IF(($W$5&lt;&gt;0),$W$5*-10,15)</f>
        <v>-20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178</v>
      </c>
      <c r="G320" s="153"/>
      <c r="H320" s="154">
        <f t="shared" ref="H320:H326" si="896">IF(G320="x",10,0)</f>
        <v>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0</v>
      </c>
      <c r="P320" s="155">
        <f t="shared" si="877"/>
        <v>-5</v>
      </c>
      <c r="Q320" s="155">
        <f t="shared" si="895"/>
        <v>-20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178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0</v>
      </c>
      <c r="P321" s="155">
        <f t="shared" si="877"/>
        <v>-5</v>
      </c>
      <c r="Q321" s="155">
        <f t="shared" si="895"/>
        <v>-20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178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0</v>
      </c>
      <c r="P322" s="155">
        <f t="shared" si="877"/>
        <v>-5</v>
      </c>
      <c r="Q322" s="155">
        <f t="shared" si="895"/>
        <v>-20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178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0</v>
      </c>
      <c r="P323" s="155">
        <f t="shared" si="877"/>
        <v>-5</v>
      </c>
      <c r="Q323" s="155">
        <f t="shared" si="895"/>
        <v>-20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178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0</v>
      </c>
      <c r="P324" s="155">
        <f t="shared" si="877"/>
        <v>-5</v>
      </c>
      <c r="Q324" s="155">
        <f t="shared" si="895"/>
        <v>-20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178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0</v>
      </c>
      <c r="P325" s="155">
        <f t="shared" si="877"/>
        <v>-5</v>
      </c>
      <c r="Q325" s="155">
        <f t="shared" si="895"/>
        <v>-20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178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0</v>
      </c>
      <c r="P326" s="155">
        <f t="shared" si="877"/>
        <v>-5</v>
      </c>
      <c r="Q326" s="155">
        <f t="shared" si="895"/>
        <v>-20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178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0</v>
      </c>
      <c r="P327" s="155">
        <f t="shared" si="877"/>
        <v>-5</v>
      </c>
      <c r="Q327" s="155">
        <f t="shared" si="895"/>
        <v>-20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178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0</v>
      </c>
      <c r="P328" s="155">
        <f t="shared" si="877"/>
        <v>-5</v>
      </c>
      <c r="Q328" s="155">
        <f t="shared" si="895"/>
        <v>-20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178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0</v>
      </c>
      <c r="P329" s="155">
        <f t="shared" ref="P329:P345" si="913">IF(($V$5&lt;&gt;0),$V$5*10,-5)</f>
        <v>-5</v>
      </c>
      <c r="Q329" s="155">
        <f t="shared" ref="Q329:Q338" si="914">IF(($W$5&lt;&gt;0),$W$5*-10,10)</f>
        <v>-20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178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0</v>
      </c>
      <c r="P330" s="155">
        <f t="shared" si="913"/>
        <v>-5</v>
      </c>
      <c r="Q330" s="155">
        <f t="shared" si="914"/>
        <v>-20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178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0</v>
      </c>
      <c r="P331" s="155">
        <f t="shared" si="913"/>
        <v>-5</v>
      </c>
      <c r="Q331" s="155">
        <f t="shared" si="914"/>
        <v>-20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178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0</v>
      </c>
      <c r="P332" s="155">
        <f t="shared" si="913"/>
        <v>-5</v>
      </c>
      <c r="Q332" s="155">
        <f t="shared" si="914"/>
        <v>-20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178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0</v>
      </c>
      <c r="P333" s="155">
        <f t="shared" si="913"/>
        <v>-5</v>
      </c>
      <c r="Q333" s="155">
        <f t="shared" si="914"/>
        <v>-20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178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0</v>
      </c>
      <c r="P334" s="155">
        <f t="shared" si="913"/>
        <v>-5</v>
      </c>
      <c r="Q334" s="155">
        <f t="shared" si="914"/>
        <v>-20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178</v>
      </c>
      <c r="G335" s="153"/>
      <c r="H335" s="154">
        <f t="shared" si="915"/>
        <v>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0</v>
      </c>
      <c r="P335" s="155">
        <f t="shared" si="913"/>
        <v>-5</v>
      </c>
      <c r="Q335" s="155">
        <f t="shared" si="914"/>
        <v>-20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178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0</v>
      </c>
      <c r="P336" s="155">
        <f t="shared" si="913"/>
        <v>-5</v>
      </c>
      <c r="Q336" s="155">
        <f t="shared" si="914"/>
        <v>-20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178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0</v>
      </c>
      <c r="P337" s="155">
        <f t="shared" si="913"/>
        <v>-5</v>
      </c>
      <c r="Q337" s="155">
        <f t="shared" si="914"/>
        <v>-20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178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0</v>
      </c>
      <c r="P338" s="155">
        <f t="shared" si="913"/>
        <v>-5</v>
      </c>
      <c r="Q338" s="155">
        <f t="shared" si="914"/>
        <v>-20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178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0</v>
      </c>
      <c r="P339" s="155">
        <f t="shared" si="913"/>
        <v>-5</v>
      </c>
      <c r="Q339" s="155">
        <f>IF(($W$5&lt;&gt;0),$W$5*-10,5)</f>
        <v>-20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178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0</v>
      </c>
      <c r="P340" s="155">
        <f t="shared" si="913"/>
        <v>-5</v>
      </c>
      <c r="Q340" s="155">
        <f t="shared" ref="Q340:Q345" si="935">IF(($W$5&lt;&gt;0),$W$5*-10,5)</f>
        <v>-20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178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0</v>
      </c>
      <c r="P341" s="155">
        <f t="shared" si="913"/>
        <v>-5</v>
      </c>
      <c r="Q341" s="155">
        <f t="shared" si="935"/>
        <v>-20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178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0</v>
      </c>
      <c r="P342" s="155">
        <f t="shared" si="913"/>
        <v>-5</v>
      </c>
      <c r="Q342" s="155">
        <f t="shared" si="935"/>
        <v>-20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178</v>
      </c>
      <c r="G343" s="153"/>
      <c r="H343" s="154">
        <f t="shared" si="931"/>
        <v>0</v>
      </c>
      <c r="I343" s="153"/>
      <c r="J343" s="154">
        <f t="shared" si="932"/>
        <v>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0</v>
      </c>
      <c r="P343" s="155">
        <f t="shared" si="913"/>
        <v>-5</v>
      </c>
      <c r="Q343" s="155">
        <f t="shared" si="935"/>
        <v>-20</v>
      </c>
      <c r="R343" s="153"/>
      <c r="S343" s="154">
        <f t="shared" si="936"/>
        <v>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178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0</v>
      </c>
      <c r="P344" s="155">
        <f t="shared" si="913"/>
        <v>-5</v>
      </c>
      <c r="Q344" s="155">
        <f t="shared" si="935"/>
        <v>-20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178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0</v>
      </c>
      <c r="P345" s="155">
        <f t="shared" si="913"/>
        <v>-5</v>
      </c>
      <c r="Q345" s="155">
        <f t="shared" si="935"/>
        <v>-20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hidden="1" thickBot="1" x14ac:dyDescent="0.25">
      <c r="A346" s="142"/>
      <c r="B346" s="143">
        <f>SUM(B347:B376)</f>
        <v>0</v>
      </c>
      <c r="C346" s="158"/>
      <c r="D346" s="221" t="s">
        <v>119</v>
      </c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2"/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/>
      <c r="H347" s="154">
        <f t="shared" ref="H347" si="948">IF(G347="x",10,0)</f>
        <v>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0</v>
      </c>
      <c r="P347" s="155">
        <f t="shared" ref="P347:P376" si="953">IF(($V$3&lt;&gt;0),$V$3*10,-5)</f>
        <v>10</v>
      </c>
      <c r="Q347" s="155">
        <f>IF(($W$3&lt;&gt;0),$W$3*-10,20)</f>
        <v>-30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0</v>
      </c>
      <c r="P348" s="155">
        <f t="shared" si="953"/>
        <v>10</v>
      </c>
      <c r="Q348" s="155">
        <f t="shared" ref="Q348:Q349" si="961">IF(($W$3&lt;&gt;0),$W$3*-10,20)</f>
        <v>-30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0</v>
      </c>
      <c r="P349" s="155">
        <f t="shared" si="953"/>
        <v>10</v>
      </c>
      <c r="Q349" s="155">
        <f t="shared" si="961"/>
        <v>-30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0</v>
      </c>
      <c r="P350" s="155">
        <f t="shared" si="953"/>
        <v>10</v>
      </c>
      <c r="Q350" s="155">
        <f t="shared" ref="Q350:Q358" si="970">IF(($W$3&lt;&gt;0),$W$3*-10,15)</f>
        <v>-30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0</v>
      </c>
      <c r="P351" s="155">
        <f t="shared" si="953"/>
        <v>10</v>
      </c>
      <c r="Q351" s="155">
        <f t="shared" si="970"/>
        <v>-30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0</v>
      </c>
      <c r="P352" s="155">
        <f t="shared" si="953"/>
        <v>10</v>
      </c>
      <c r="Q352" s="155">
        <f t="shared" si="970"/>
        <v>-30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/>
      <c r="H353" s="154">
        <f t="shared" si="975"/>
        <v>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0</v>
      </c>
      <c r="P353" s="155">
        <f t="shared" si="953"/>
        <v>10</v>
      </c>
      <c r="Q353" s="155">
        <f t="shared" si="970"/>
        <v>-30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0</v>
      </c>
      <c r="P354" s="155">
        <f t="shared" si="953"/>
        <v>10</v>
      </c>
      <c r="Q354" s="155">
        <f t="shared" si="970"/>
        <v>-30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0</v>
      </c>
      <c r="P355" s="155">
        <f t="shared" si="953"/>
        <v>10</v>
      </c>
      <c r="Q355" s="155">
        <f t="shared" si="970"/>
        <v>-30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0</v>
      </c>
      <c r="P356" s="155">
        <f t="shared" si="953"/>
        <v>10</v>
      </c>
      <c r="Q356" s="155">
        <f t="shared" si="970"/>
        <v>-30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0</v>
      </c>
      <c r="P357" s="155">
        <f t="shared" si="953"/>
        <v>10</v>
      </c>
      <c r="Q357" s="155">
        <f t="shared" si="970"/>
        <v>-30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0</v>
      </c>
      <c r="P358" s="155">
        <f t="shared" si="953"/>
        <v>10</v>
      </c>
      <c r="Q358" s="155">
        <f t="shared" si="970"/>
        <v>-30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/>
      <c r="H359" s="154">
        <f>IF(G359="x",10,0)</f>
        <v>0</v>
      </c>
      <c r="I359" s="153"/>
      <c r="J359" s="154">
        <f>IF((I359="x"),-10,0)</f>
        <v>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0</v>
      </c>
      <c r="P359" s="155">
        <f t="shared" si="953"/>
        <v>10</v>
      </c>
      <c r="Q359" s="155">
        <f t="shared" ref="Q359:Q369" si="991">IF(($W$3&lt;&gt;0),$W$3*-10,10)</f>
        <v>-30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0</v>
      </c>
      <c r="P360" s="155">
        <f t="shared" si="953"/>
        <v>10</v>
      </c>
      <c r="Q360" s="155">
        <f t="shared" si="991"/>
        <v>-30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0</v>
      </c>
      <c r="P361" s="155">
        <f t="shared" si="953"/>
        <v>10</v>
      </c>
      <c r="Q361" s="155">
        <f t="shared" si="991"/>
        <v>-30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/>
      <c r="H362" s="154">
        <f t="shared" ref="H362" si="1000">IF(G362="x",10,0)</f>
        <v>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0</v>
      </c>
      <c r="P362" s="155">
        <f t="shared" si="953"/>
        <v>10</v>
      </c>
      <c r="Q362" s="155">
        <f t="shared" si="991"/>
        <v>-30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0</v>
      </c>
      <c r="P363" s="155">
        <f t="shared" si="953"/>
        <v>10</v>
      </c>
      <c r="Q363" s="155">
        <f t="shared" si="991"/>
        <v>-30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0</v>
      </c>
      <c r="P364" s="155">
        <f t="shared" si="953"/>
        <v>10</v>
      </c>
      <c r="Q364" s="155">
        <f t="shared" si="991"/>
        <v>-30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0</v>
      </c>
      <c r="P365" s="155">
        <f t="shared" si="953"/>
        <v>10</v>
      </c>
      <c r="Q365" s="155">
        <f t="shared" si="991"/>
        <v>-30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0</v>
      </c>
      <c r="P366" s="155">
        <f t="shared" si="953"/>
        <v>10</v>
      </c>
      <c r="Q366" s="155">
        <f t="shared" si="991"/>
        <v>-30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0</v>
      </c>
      <c r="P367" s="155">
        <f t="shared" si="953"/>
        <v>10</v>
      </c>
      <c r="Q367" s="155">
        <f t="shared" si="991"/>
        <v>-30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0</v>
      </c>
      <c r="P368" s="155">
        <f t="shared" si="953"/>
        <v>10</v>
      </c>
      <c r="Q368" s="155">
        <f t="shared" si="991"/>
        <v>-30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0</v>
      </c>
      <c r="P369" s="155">
        <f t="shared" si="953"/>
        <v>10</v>
      </c>
      <c r="Q369" s="155">
        <f t="shared" si="991"/>
        <v>-30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0</v>
      </c>
      <c r="P370" s="155">
        <f t="shared" si="953"/>
        <v>10</v>
      </c>
      <c r="Q370" s="155">
        <f t="shared" ref="Q370:Q376" si="1018">IF(($W$3&lt;&gt;0),$W$3*-10,5)</f>
        <v>-30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0</v>
      </c>
      <c r="P371" s="155">
        <f t="shared" si="953"/>
        <v>10</v>
      </c>
      <c r="Q371" s="155">
        <f t="shared" si="1018"/>
        <v>-30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0</v>
      </c>
      <c r="P372" s="155">
        <f t="shared" si="953"/>
        <v>10</v>
      </c>
      <c r="Q372" s="155">
        <f t="shared" si="1018"/>
        <v>-30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0</v>
      </c>
      <c r="P373" s="155">
        <f t="shared" si="953"/>
        <v>10</v>
      </c>
      <c r="Q373" s="155">
        <f t="shared" si="1018"/>
        <v>-30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0</v>
      </c>
      <c r="P374" s="155">
        <f t="shared" si="953"/>
        <v>10</v>
      </c>
      <c r="Q374" s="155">
        <f t="shared" si="1018"/>
        <v>-30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/>
      <c r="H375" s="154">
        <f t="shared" si="1019"/>
        <v>0</v>
      </c>
      <c r="I375" s="153"/>
      <c r="J375" s="154">
        <f t="shared" si="1020"/>
        <v>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0</v>
      </c>
      <c r="P375" s="155">
        <f t="shared" si="953"/>
        <v>10</v>
      </c>
      <c r="Q375" s="155">
        <f t="shared" si="1018"/>
        <v>-30</v>
      </c>
      <c r="R375" s="153"/>
      <c r="S375" s="154">
        <f t="shared" si="1023"/>
        <v>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0</v>
      </c>
      <c r="P376" s="155">
        <f t="shared" si="953"/>
        <v>10</v>
      </c>
      <c r="Q376" s="155">
        <f t="shared" si="1018"/>
        <v>-30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21" t="s">
        <v>329</v>
      </c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2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328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10</v>
      </c>
      <c r="P378" s="16">
        <f>IF(($P$4&lt;&gt;0),$P$4*10,-5)</f>
        <v>20</v>
      </c>
      <c r="Q378" s="16">
        <f>IF(($Q$4&lt;&gt;0),$Q$4*-10,20)</f>
        <v>-20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328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10</v>
      </c>
      <c r="P379" s="16">
        <f t="shared" ref="P379:P380" si="1040">IF(($P$4&lt;&gt;0),$P$4*10,-5)</f>
        <v>20</v>
      </c>
      <c r="Q379" s="16">
        <f t="shared" ref="Q379:Q380" si="1041">IF(($Q$4&lt;&gt;0),$Q$4*-10,20)</f>
        <v>-20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328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10</v>
      </c>
      <c r="P380" s="16">
        <f t="shared" si="1040"/>
        <v>20</v>
      </c>
      <c r="Q380" s="16">
        <f t="shared" si="1041"/>
        <v>-20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328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10</v>
      </c>
      <c r="P381" s="16">
        <f t="shared" ref="P381:P389" si="1047">IF(($P$4&lt;&gt;0),$P$4*10,-5)</f>
        <v>20</v>
      </c>
      <c r="Q381" s="16">
        <f t="shared" ref="Q381:Q389" si="1048">IF(($Q$4&lt;&gt;0),$Q$4*-10,15)</f>
        <v>-20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328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10</v>
      </c>
      <c r="P382" s="16">
        <f t="shared" si="1047"/>
        <v>20</v>
      </c>
      <c r="Q382" s="16">
        <f t="shared" si="1048"/>
        <v>-20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328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10</v>
      </c>
      <c r="P383" s="16">
        <f t="shared" si="1047"/>
        <v>20</v>
      </c>
      <c r="Q383" s="16">
        <f t="shared" si="1048"/>
        <v>-20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328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10</v>
      </c>
      <c r="P384" s="16">
        <f t="shared" si="1047"/>
        <v>20</v>
      </c>
      <c r="Q384" s="16">
        <f t="shared" si="1048"/>
        <v>-20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328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10</v>
      </c>
      <c r="P385" s="16">
        <f t="shared" si="1047"/>
        <v>20</v>
      </c>
      <c r="Q385" s="16">
        <f t="shared" si="1048"/>
        <v>-20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328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10</v>
      </c>
      <c r="P386" s="16">
        <f t="shared" si="1047"/>
        <v>20</v>
      </c>
      <c r="Q386" s="16">
        <f t="shared" si="1048"/>
        <v>-20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328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10</v>
      </c>
      <c r="P387" s="16">
        <f t="shared" si="1047"/>
        <v>20</v>
      </c>
      <c r="Q387" s="16">
        <f t="shared" si="1048"/>
        <v>-20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328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10</v>
      </c>
      <c r="P388" s="16">
        <f t="shared" si="1047"/>
        <v>20</v>
      </c>
      <c r="Q388" s="16">
        <f t="shared" si="1048"/>
        <v>-20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328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10</v>
      </c>
      <c r="P389" s="16">
        <f t="shared" si="1047"/>
        <v>20</v>
      </c>
      <c r="Q389" s="16">
        <f t="shared" si="1048"/>
        <v>-20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328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10</v>
      </c>
      <c r="P390" s="16">
        <f t="shared" ref="P390:P401" si="1067">IF(($P$4&lt;&gt;0),$P$4*10,-5)</f>
        <v>20</v>
      </c>
      <c r="Q390" s="16">
        <f t="shared" ref="Q390:Q396" si="1068">IF(($Q$4&lt;&gt;0),$Q$4*-10,10)</f>
        <v>-20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328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10</v>
      </c>
      <c r="P391" s="16">
        <f t="shared" si="1067"/>
        <v>20</v>
      </c>
      <c r="Q391" s="16">
        <f t="shared" si="1068"/>
        <v>-20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328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10</v>
      </c>
      <c r="P392" s="16">
        <f t="shared" si="1067"/>
        <v>20</v>
      </c>
      <c r="Q392" s="16">
        <f t="shared" si="1068"/>
        <v>-20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328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10</v>
      </c>
      <c r="P393" s="16">
        <f t="shared" si="1067"/>
        <v>20</v>
      </c>
      <c r="Q393" s="16">
        <f t="shared" si="1068"/>
        <v>-20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328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10</v>
      </c>
      <c r="P394" s="16">
        <f t="shared" si="1067"/>
        <v>20</v>
      </c>
      <c r="Q394" s="16">
        <f t="shared" si="1068"/>
        <v>-20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328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10</v>
      </c>
      <c r="P395" s="16">
        <f t="shared" si="1067"/>
        <v>20</v>
      </c>
      <c r="Q395" s="16">
        <f t="shared" si="1068"/>
        <v>-20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328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10</v>
      </c>
      <c r="P396" s="16">
        <f t="shared" si="1067"/>
        <v>20</v>
      </c>
      <c r="Q396" s="16">
        <f t="shared" si="1068"/>
        <v>-20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328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10</v>
      </c>
      <c r="P397" s="16">
        <f t="shared" si="1067"/>
        <v>20</v>
      </c>
      <c r="Q397" s="16">
        <f t="shared" ref="Q397:Q401" si="1081">IF(($Q$4&lt;&gt;0),$Q$4*-10,5)</f>
        <v>-20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328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10</v>
      </c>
      <c r="P398" s="16">
        <f t="shared" si="1067"/>
        <v>20</v>
      </c>
      <c r="Q398" s="16">
        <f t="shared" si="1081"/>
        <v>-20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328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10</v>
      </c>
      <c r="P399" s="16">
        <f t="shared" si="1067"/>
        <v>20</v>
      </c>
      <c r="Q399" s="16">
        <f t="shared" si="1081"/>
        <v>-20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328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10</v>
      </c>
      <c r="P400" s="16">
        <f t="shared" si="1067"/>
        <v>20</v>
      </c>
      <c r="Q400" s="16">
        <f t="shared" si="1081"/>
        <v>-20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328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10</v>
      </c>
      <c r="P401" s="16">
        <f t="shared" si="1067"/>
        <v>20</v>
      </c>
      <c r="Q401" s="16">
        <f t="shared" si="1081"/>
        <v>-20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21" t="s">
        <v>265</v>
      </c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2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323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20</v>
      </c>
      <c r="P403" s="16">
        <f t="shared" ref="P403:P416" si="1107">IF(($P$9&lt;&gt;0),$P$9*10,-5)</f>
        <v>30</v>
      </c>
      <c r="Q403" s="16">
        <f>IF(($Q$9&lt;&gt;0),$Q$9*-10,20)</f>
        <v>20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323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20</v>
      </c>
      <c r="P404" s="16">
        <f t="shared" si="1107"/>
        <v>30</v>
      </c>
      <c r="Q404" s="16">
        <f t="shared" ref="Q404" si="1115">IF(($Q$9&lt;&gt;0),$Q$9*-10,20)</f>
        <v>20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323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20</v>
      </c>
      <c r="P405" s="16">
        <f t="shared" si="1107"/>
        <v>30</v>
      </c>
      <c r="Q405" s="16">
        <f t="shared" ref="Q405:Q416" si="1124">IF(($Q$9&lt;&gt;0),$Q$9*-10,15)</f>
        <v>15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323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20</v>
      </c>
      <c r="P406" s="16">
        <f t="shared" si="1107"/>
        <v>30</v>
      </c>
      <c r="Q406" s="16">
        <f t="shared" si="1124"/>
        <v>15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323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20</v>
      </c>
      <c r="P407" s="16">
        <f t="shared" si="1107"/>
        <v>30</v>
      </c>
      <c r="Q407" s="16">
        <f t="shared" si="1124"/>
        <v>15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323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20</v>
      </c>
      <c r="P408" s="16">
        <f t="shared" si="1107"/>
        <v>30</v>
      </c>
      <c r="Q408" s="16">
        <f t="shared" si="1124"/>
        <v>15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323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20</v>
      </c>
      <c r="P409" s="16">
        <f t="shared" si="1107"/>
        <v>30</v>
      </c>
      <c r="Q409" s="16">
        <f t="shared" si="1124"/>
        <v>15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323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20</v>
      </c>
      <c r="P410" s="16">
        <f t="shared" si="1107"/>
        <v>30</v>
      </c>
      <c r="Q410" s="16">
        <f t="shared" si="1124"/>
        <v>15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323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20</v>
      </c>
      <c r="P411" s="16">
        <f t="shared" si="1107"/>
        <v>30</v>
      </c>
      <c r="Q411" s="16">
        <f t="shared" si="1124"/>
        <v>15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323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20</v>
      </c>
      <c r="P412" s="16">
        <f t="shared" si="1107"/>
        <v>30</v>
      </c>
      <c r="Q412" s="16">
        <f t="shared" si="1124"/>
        <v>15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323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20</v>
      </c>
      <c r="P413" s="16">
        <f t="shared" si="1107"/>
        <v>30</v>
      </c>
      <c r="Q413" s="16">
        <f t="shared" si="1124"/>
        <v>15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323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20</v>
      </c>
      <c r="P414" s="16">
        <f t="shared" si="1107"/>
        <v>30</v>
      </c>
      <c r="Q414" s="16">
        <f t="shared" si="1124"/>
        <v>15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323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20</v>
      </c>
      <c r="P415" s="16">
        <f t="shared" si="1107"/>
        <v>30</v>
      </c>
      <c r="Q415" s="16">
        <f t="shared" si="1124"/>
        <v>15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323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20</v>
      </c>
      <c r="P416" s="16">
        <f t="shared" si="1107"/>
        <v>30</v>
      </c>
      <c r="Q416" s="16">
        <f t="shared" si="1124"/>
        <v>15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323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20</v>
      </c>
      <c r="P417" s="16">
        <f t="shared" ref="P417:P430" si="1158">IF(($P$9&lt;&gt;0),$P$9*10,-5)</f>
        <v>30</v>
      </c>
      <c r="Q417" s="16">
        <f t="shared" ref="Q417:Q425" si="1159">IF(($Q$9&lt;&gt;0),$Q$9*-10,10)</f>
        <v>10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323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20</v>
      </c>
      <c r="P418" s="16">
        <f t="shared" si="1158"/>
        <v>30</v>
      </c>
      <c r="Q418" s="16">
        <f t="shared" si="1159"/>
        <v>10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323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20</v>
      </c>
      <c r="P419" s="16">
        <f t="shared" si="1158"/>
        <v>30</v>
      </c>
      <c r="Q419" s="16">
        <f t="shared" si="1159"/>
        <v>10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323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20</v>
      </c>
      <c r="P420" s="16">
        <f t="shared" si="1158"/>
        <v>30</v>
      </c>
      <c r="Q420" s="16">
        <f t="shared" si="1159"/>
        <v>10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323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20</v>
      </c>
      <c r="P421" s="16">
        <f t="shared" si="1158"/>
        <v>30</v>
      </c>
      <c r="Q421" s="16">
        <f t="shared" si="1159"/>
        <v>10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323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20</v>
      </c>
      <c r="P422" s="16">
        <f t="shared" si="1158"/>
        <v>30</v>
      </c>
      <c r="Q422" s="16">
        <f t="shared" si="1159"/>
        <v>10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323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20</v>
      </c>
      <c r="P423" s="16">
        <f t="shared" si="1158"/>
        <v>30</v>
      </c>
      <c r="Q423" s="16">
        <f t="shared" si="1159"/>
        <v>10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323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20</v>
      </c>
      <c r="P424" s="16">
        <f t="shared" si="1158"/>
        <v>30</v>
      </c>
      <c r="Q424" s="16">
        <f t="shared" si="1159"/>
        <v>10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323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20</v>
      </c>
      <c r="P425" s="16">
        <f t="shared" si="1158"/>
        <v>30</v>
      </c>
      <c r="Q425" s="16">
        <f t="shared" si="1159"/>
        <v>10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323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20</v>
      </c>
      <c r="P426" s="16">
        <f t="shared" si="1158"/>
        <v>30</v>
      </c>
      <c r="Q426" s="16">
        <f>IF(($Q$9&lt;&gt;0),$Q$9*-10,5)</f>
        <v>5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323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20</v>
      </c>
      <c r="P427" s="16">
        <f t="shared" si="1158"/>
        <v>30</v>
      </c>
      <c r="Q427" s="16">
        <f t="shared" ref="Q427:Q430" si="1184">IF(($Q$9&lt;&gt;0),$Q$9*-10,5)</f>
        <v>5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323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20</v>
      </c>
      <c r="P428" s="16">
        <f t="shared" si="1158"/>
        <v>30</v>
      </c>
      <c r="Q428" s="16">
        <f t="shared" si="1184"/>
        <v>5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323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20</v>
      </c>
      <c r="P429" s="16">
        <f t="shared" si="1158"/>
        <v>30</v>
      </c>
      <c r="Q429" s="16">
        <f t="shared" si="1184"/>
        <v>5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323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20</v>
      </c>
      <c r="P430" s="16">
        <f t="shared" si="1158"/>
        <v>30</v>
      </c>
      <c r="Q430" s="16">
        <f t="shared" si="1184"/>
        <v>5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21" t="s">
        <v>96</v>
      </c>
      <c r="E431" s="221"/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2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10</v>
      </c>
      <c r="P432" s="16">
        <f t="shared" ref="P432:P457" si="1202">IF(($V$7&lt;&gt;0),$V$7*10,-5)</f>
        <v>10</v>
      </c>
      <c r="Q432" s="16">
        <f>IF(($W$7&lt;&gt;0),$W$7*-10,20)</f>
        <v>-10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10</v>
      </c>
      <c r="P433" s="16">
        <f t="shared" si="1202"/>
        <v>10</v>
      </c>
      <c r="Q433" s="16">
        <f t="shared" ref="Q433:Q434" si="1210">IF(($W$7&lt;&gt;0),$W$7*-10,20)</f>
        <v>-10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10</v>
      </c>
      <c r="P434" s="16">
        <f t="shared" si="1202"/>
        <v>10</v>
      </c>
      <c r="Q434" s="16">
        <f t="shared" si="1210"/>
        <v>-10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10</v>
      </c>
      <c r="P435" s="16">
        <f t="shared" si="1202"/>
        <v>10</v>
      </c>
      <c r="Q435" s="16">
        <f t="shared" ref="Q435:Q448" si="1215">IF(($W$7&lt;&gt;0),$W$7*-10,15)</f>
        <v>-10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10</v>
      </c>
      <c r="P436" s="16">
        <f t="shared" si="1202"/>
        <v>10</v>
      </c>
      <c r="Q436" s="16">
        <f t="shared" si="1215"/>
        <v>-10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10</v>
      </c>
      <c r="P437" s="16">
        <f t="shared" si="1202"/>
        <v>10</v>
      </c>
      <c r="Q437" s="16">
        <f t="shared" si="1215"/>
        <v>-10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10</v>
      </c>
      <c r="P438" s="16">
        <f t="shared" si="1202"/>
        <v>10</v>
      </c>
      <c r="Q438" s="16">
        <f t="shared" si="1215"/>
        <v>-10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10</v>
      </c>
      <c r="P439" s="16">
        <f t="shared" si="1202"/>
        <v>10</v>
      </c>
      <c r="Q439" s="16">
        <f t="shared" si="1215"/>
        <v>-10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10</v>
      </c>
      <c r="P440" s="16">
        <f t="shared" si="1202"/>
        <v>10</v>
      </c>
      <c r="Q440" s="16">
        <f t="shared" si="1215"/>
        <v>-10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10</v>
      </c>
      <c r="P441" s="16">
        <f t="shared" si="1202"/>
        <v>10</v>
      </c>
      <c r="Q441" s="16">
        <f t="shared" si="1215"/>
        <v>-10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10</v>
      </c>
      <c r="P442" s="16">
        <f t="shared" si="1202"/>
        <v>10</v>
      </c>
      <c r="Q442" s="16">
        <f t="shared" si="1215"/>
        <v>-10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10</v>
      </c>
      <c r="P443" s="16">
        <f t="shared" si="1202"/>
        <v>10</v>
      </c>
      <c r="Q443" s="16">
        <f t="shared" si="1215"/>
        <v>-10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10</v>
      </c>
      <c r="P444" s="16">
        <f t="shared" si="1202"/>
        <v>10</v>
      </c>
      <c r="Q444" s="16">
        <f t="shared" si="1215"/>
        <v>-10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10</v>
      </c>
      <c r="P445" s="16">
        <f t="shared" si="1202"/>
        <v>10</v>
      </c>
      <c r="Q445" s="16">
        <f t="shared" si="1215"/>
        <v>-10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10</v>
      </c>
      <c r="P446" s="16">
        <f t="shared" si="1202"/>
        <v>10</v>
      </c>
      <c r="Q446" s="16">
        <f t="shared" si="1215"/>
        <v>-10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10</v>
      </c>
      <c r="P447" s="16">
        <f t="shared" si="1202"/>
        <v>10</v>
      </c>
      <c r="Q447" s="16">
        <f t="shared" si="1215"/>
        <v>-10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10</v>
      </c>
      <c r="P448" s="16">
        <f t="shared" si="1202"/>
        <v>10</v>
      </c>
      <c r="Q448" s="16">
        <f t="shared" si="1215"/>
        <v>-10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10</v>
      </c>
      <c r="P449" s="16">
        <f t="shared" si="1202"/>
        <v>10</v>
      </c>
      <c r="Q449" s="16">
        <f t="shared" ref="Q449:Q457" si="1232">IF(($W$7&lt;&gt;0),$W$7*-10,10)</f>
        <v>-10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10</v>
      </c>
      <c r="P450" s="16">
        <f t="shared" si="1202"/>
        <v>10</v>
      </c>
      <c r="Q450" s="16">
        <f t="shared" si="1232"/>
        <v>-10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10</v>
      </c>
      <c r="P451" s="16">
        <f t="shared" si="1202"/>
        <v>10</v>
      </c>
      <c r="Q451" s="16">
        <f t="shared" si="1232"/>
        <v>-10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10</v>
      </c>
      <c r="P452" s="16">
        <f t="shared" si="1202"/>
        <v>10</v>
      </c>
      <c r="Q452" s="16">
        <f t="shared" si="1232"/>
        <v>-10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10</v>
      </c>
      <c r="P453" s="16">
        <f t="shared" si="1202"/>
        <v>10</v>
      </c>
      <c r="Q453" s="16">
        <f t="shared" si="1232"/>
        <v>-10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10</v>
      </c>
      <c r="P454" s="16">
        <f t="shared" si="1202"/>
        <v>10</v>
      </c>
      <c r="Q454" s="16">
        <f t="shared" si="1232"/>
        <v>-10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10</v>
      </c>
      <c r="P455" s="16">
        <f t="shared" si="1202"/>
        <v>10</v>
      </c>
      <c r="Q455" s="16">
        <f t="shared" si="1232"/>
        <v>-10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10</v>
      </c>
      <c r="P456" s="16">
        <f t="shared" si="1202"/>
        <v>10</v>
      </c>
      <c r="Q456" s="16">
        <f t="shared" si="1232"/>
        <v>-10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10</v>
      </c>
      <c r="P457" s="16">
        <f t="shared" si="1202"/>
        <v>10</v>
      </c>
      <c r="Q457" s="16">
        <f t="shared" si="1232"/>
        <v>-10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10</v>
      </c>
      <c r="P458" s="16">
        <f t="shared" ref="P458:P463" si="1242">IF(($V$7&lt;&gt;0),$V$7*10,-5)</f>
        <v>10</v>
      </c>
      <c r="Q458" s="16">
        <f t="shared" ref="Q458:Q463" si="1243">IF(($W$7&lt;&gt;0),$W$7*-10,5)</f>
        <v>-10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10</v>
      </c>
      <c r="P459" s="16">
        <f t="shared" si="1242"/>
        <v>10</v>
      </c>
      <c r="Q459" s="16">
        <f t="shared" si="1243"/>
        <v>-10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10</v>
      </c>
      <c r="P460" s="16">
        <f t="shared" si="1242"/>
        <v>10</v>
      </c>
      <c r="Q460" s="16">
        <f t="shared" si="1243"/>
        <v>-10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10</v>
      </c>
      <c r="P461" s="16">
        <f t="shared" si="1242"/>
        <v>10</v>
      </c>
      <c r="Q461" s="16">
        <f t="shared" si="1243"/>
        <v>-10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10</v>
      </c>
      <c r="P462" s="16">
        <f t="shared" si="1242"/>
        <v>10</v>
      </c>
      <c r="Q462" s="16">
        <f t="shared" si="1243"/>
        <v>-10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10</v>
      </c>
      <c r="P463" s="16">
        <f t="shared" si="1242"/>
        <v>10</v>
      </c>
      <c r="Q463" s="16">
        <f t="shared" si="1243"/>
        <v>-10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thickBot="1" x14ac:dyDescent="0.25">
      <c r="A464" s="142"/>
      <c r="B464" s="143">
        <f>SUM(B465:B493)</f>
        <v>2</v>
      </c>
      <c r="C464" s="158"/>
      <c r="D464" s="221" t="s">
        <v>229</v>
      </c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2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228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0</v>
      </c>
      <c r="P465" s="155">
        <f t="shared" ref="P465:P468" si="1257">IF(($P$10&lt;&gt;0),$P$10*10,-5)</f>
        <v>-5</v>
      </c>
      <c r="Q465" s="155">
        <f t="shared" ref="Q465:Q468" si="1258">IF(($Q$10&lt;&gt;0),$Q$10*-10,20)</f>
        <v>-30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hidden="1" customHeight="1" x14ac:dyDescent="0.2">
      <c r="A466" s="11"/>
      <c r="B466" s="150">
        <f>COUNTA(Spieltag!K454:AA454)</f>
        <v>0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228</v>
      </c>
      <c r="G466" s="153"/>
      <c r="H466" s="154">
        <f t="shared" si="1252"/>
        <v>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0</v>
      </c>
      <c r="P466" s="155">
        <f t="shared" si="1257"/>
        <v>-5</v>
      </c>
      <c r="Q466" s="155">
        <f t="shared" si="1258"/>
        <v>-30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0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228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0</v>
      </c>
      <c r="P467" s="155">
        <f t="shared" si="1257"/>
        <v>-5</v>
      </c>
      <c r="Q467" s="155">
        <f t="shared" si="1258"/>
        <v>-30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228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0</v>
      </c>
      <c r="P468" s="155">
        <f t="shared" si="1257"/>
        <v>-5</v>
      </c>
      <c r="Q468" s="155">
        <f t="shared" si="1258"/>
        <v>-30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customHeight="1" x14ac:dyDescent="0.2">
      <c r="A469" s="11"/>
      <c r="B469" s="149">
        <f>COUNTA(Spieltag!K457:AA457)</f>
        <v>1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228</v>
      </c>
      <c r="G469" s="14" t="s">
        <v>661</v>
      </c>
      <c r="H469" s="15">
        <f t="shared" ref="H469" si="1271">IF(G469="x",10,0)</f>
        <v>10</v>
      </c>
      <c r="I469" s="14"/>
      <c r="J469" s="15">
        <f t="shared" ref="J469" si="1272">IF((I469="x"),-10,0)</f>
        <v>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0</v>
      </c>
      <c r="P469" s="16">
        <f t="shared" ref="P469:P476" si="1276">IF(($P$10&lt;&gt;0),$P$10*10,-5)</f>
        <v>-5</v>
      </c>
      <c r="Q469" s="16">
        <f t="shared" ref="Q469:Q476" si="1277">IF(($Q$10&lt;&gt;0),$Q$10*-10,15)</f>
        <v>-30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-25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228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0</v>
      </c>
      <c r="P470" s="16">
        <f t="shared" si="1276"/>
        <v>-5</v>
      </c>
      <c r="Q470" s="16">
        <f t="shared" si="1277"/>
        <v>-30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228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0</v>
      </c>
      <c r="P471" s="16">
        <f t="shared" si="1276"/>
        <v>-5</v>
      </c>
      <c r="Q471" s="16">
        <f t="shared" si="1277"/>
        <v>-30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228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0</v>
      </c>
      <c r="P472" s="16">
        <f t="shared" si="1276"/>
        <v>-5</v>
      </c>
      <c r="Q472" s="16">
        <f t="shared" si="1277"/>
        <v>-30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228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0</v>
      </c>
      <c r="P473" s="16">
        <f t="shared" si="1276"/>
        <v>-5</v>
      </c>
      <c r="Q473" s="16">
        <f t="shared" si="1277"/>
        <v>-30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228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0</v>
      </c>
      <c r="P474" s="16">
        <f t="shared" si="1276"/>
        <v>-5</v>
      </c>
      <c r="Q474" s="16">
        <f t="shared" si="1277"/>
        <v>-30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228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0</v>
      </c>
      <c r="P475" s="16">
        <f t="shared" si="1276"/>
        <v>-5</v>
      </c>
      <c r="Q475" s="16">
        <f t="shared" si="1277"/>
        <v>-30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228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0</v>
      </c>
      <c r="P476" s="16">
        <f t="shared" si="1276"/>
        <v>-5</v>
      </c>
      <c r="Q476" s="16">
        <f t="shared" si="1277"/>
        <v>-30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hidden="1" customHeight="1" x14ac:dyDescent="0.2">
      <c r="A477" s="11"/>
      <c r="B477" s="149">
        <f>COUNTA(Spieltag!K465:AA465)</f>
        <v>0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228</v>
      </c>
      <c r="G477" s="14"/>
      <c r="H477" s="15">
        <f t="shared" si="1282"/>
        <v>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0</v>
      </c>
      <c r="P477" s="16">
        <f t="shared" ref="P477:P487" si="1291">IF(($P$10&lt;&gt;0),$P$10*10,-5)</f>
        <v>-5</v>
      </c>
      <c r="Q477" s="16">
        <f t="shared" ref="Q477:Q487" si="1292">IF(($Q$10&lt;&gt;0),$Q$10*-10,10)</f>
        <v>-30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228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0</v>
      </c>
      <c r="P478" s="16">
        <f t="shared" si="1291"/>
        <v>-5</v>
      </c>
      <c r="Q478" s="16">
        <f t="shared" si="1292"/>
        <v>-30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228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0</v>
      </c>
      <c r="P479" s="16">
        <f t="shared" si="1291"/>
        <v>-5</v>
      </c>
      <c r="Q479" s="16">
        <f t="shared" si="1292"/>
        <v>-30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228</v>
      </c>
      <c r="G480" s="14"/>
      <c r="H480" s="15">
        <f>IF(G480="x",10,0)</f>
        <v>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0</v>
      </c>
      <c r="P480" s="16">
        <f t="shared" si="1291"/>
        <v>-5</v>
      </c>
      <c r="Q480" s="16">
        <f t="shared" si="1292"/>
        <v>-30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228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0</v>
      </c>
      <c r="P481" s="16">
        <f t="shared" si="1291"/>
        <v>-5</v>
      </c>
      <c r="Q481" s="16">
        <f t="shared" si="1292"/>
        <v>-30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228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0</v>
      </c>
      <c r="P482" s="16">
        <f t="shared" si="1291"/>
        <v>-5</v>
      </c>
      <c r="Q482" s="16">
        <f t="shared" si="1292"/>
        <v>-30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customHeight="1" x14ac:dyDescent="0.2">
      <c r="A483" s="11"/>
      <c r="B483" s="149">
        <f>COUNTA(Spieltag!K471:AA471)</f>
        <v>1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228</v>
      </c>
      <c r="G483" s="14" t="s">
        <v>661</v>
      </c>
      <c r="H483" s="15">
        <f t="shared" si="1294"/>
        <v>10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0</v>
      </c>
      <c r="P483" s="16">
        <f t="shared" si="1291"/>
        <v>-5</v>
      </c>
      <c r="Q483" s="16">
        <f t="shared" si="1292"/>
        <v>-30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-25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228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0</v>
      </c>
      <c r="P484" s="16">
        <f t="shared" si="1291"/>
        <v>-5</v>
      </c>
      <c r="Q484" s="16">
        <f t="shared" si="1292"/>
        <v>-30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228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0</v>
      </c>
      <c r="P485" s="16">
        <f t="shared" si="1291"/>
        <v>-5</v>
      </c>
      <c r="Q485" s="16">
        <f t="shared" si="1292"/>
        <v>-30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228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0</v>
      </c>
      <c r="P486" s="16">
        <f t="shared" si="1291"/>
        <v>-5</v>
      </c>
      <c r="Q486" s="16">
        <f t="shared" si="1292"/>
        <v>-30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228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0</v>
      </c>
      <c r="P487" s="16">
        <f t="shared" si="1291"/>
        <v>-5</v>
      </c>
      <c r="Q487" s="16">
        <f t="shared" si="1292"/>
        <v>-30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228</v>
      </c>
      <c r="G488" s="14"/>
      <c r="H488" s="15">
        <f>IF(G488="x",10,0)</f>
        <v>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0</v>
      </c>
      <c r="P488" s="16">
        <f t="shared" ref="P488:P493" si="1311">IF(($P$10&lt;&gt;0),$P$10*10,-5)</f>
        <v>-5</v>
      </c>
      <c r="Q488" s="16">
        <f t="shared" ref="Q488:Q493" si="1312">IF(($Q$10&lt;&gt;0),$Q$10*-10,5)</f>
        <v>-30</v>
      </c>
      <c r="R488" s="14"/>
      <c r="S488" s="15">
        <f>R488*10</f>
        <v>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228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0</v>
      </c>
      <c r="P489" s="16">
        <f t="shared" si="1311"/>
        <v>-5</v>
      </c>
      <c r="Q489" s="16">
        <f t="shared" si="1312"/>
        <v>-30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228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0</v>
      </c>
      <c r="P490" s="16">
        <f t="shared" si="1311"/>
        <v>-5</v>
      </c>
      <c r="Q490" s="16">
        <f t="shared" si="1312"/>
        <v>-30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228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0</v>
      </c>
      <c r="P491" s="16">
        <f t="shared" si="1311"/>
        <v>-5</v>
      </c>
      <c r="Q491" s="16">
        <f t="shared" si="1312"/>
        <v>-30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228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0</v>
      </c>
      <c r="P492" s="16">
        <f t="shared" si="1311"/>
        <v>-5</v>
      </c>
      <c r="Q492" s="16">
        <f t="shared" si="1312"/>
        <v>-30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228</v>
      </c>
      <c r="G493" s="14"/>
      <c r="H493" s="15">
        <f t="shared" si="1313"/>
        <v>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0</v>
      </c>
      <c r="P493" s="16">
        <f t="shared" si="1311"/>
        <v>-5</v>
      </c>
      <c r="Q493" s="16">
        <f t="shared" si="1312"/>
        <v>-30</v>
      </c>
      <c r="R493" s="14"/>
      <c r="S493" s="15">
        <f t="shared" si="1317"/>
        <v>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0</v>
      </c>
    </row>
    <row r="494" spans="1:23" s="144" customFormat="1" ht="17.25" hidden="1" thickBot="1" x14ac:dyDescent="0.25">
      <c r="A494" s="142"/>
      <c r="B494" s="143">
        <f>SUM(B495:B522)</f>
        <v>0</v>
      </c>
      <c r="C494" s="158"/>
      <c r="D494" s="221" t="s">
        <v>425</v>
      </c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2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659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20</v>
      </c>
      <c r="P495" s="16">
        <f t="shared" ref="P495:P506" si="1322">IF(($V$6&lt;&gt;0),$V$6*10,-5)</f>
        <v>10</v>
      </c>
      <c r="Q495" s="16">
        <f>IF(($W$6&lt;&gt;0),$W$6*-10,20)</f>
        <v>20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659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20</v>
      </c>
      <c r="P496" s="16">
        <f t="shared" si="1322"/>
        <v>10</v>
      </c>
      <c r="Q496" s="16">
        <f t="shared" ref="Q496:Q498" si="1327">IF(($W$6&lt;&gt;0),$W$6*-10,20)</f>
        <v>20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659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20</v>
      </c>
      <c r="P497" s="16">
        <f t="shared" si="1322"/>
        <v>10</v>
      </c>
      <c r="Q497" s="16">
        <f t="shared" si="1327"/>
        <v>20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659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20</v>
      </c>
      <c r="P498" s="16">
        <f t="shared" si="1322"/>
        <v>10</v>
      </c>
      <c r="Q498" s="16">
        <f t="shared" si="1327"/>
        <v>20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659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20</v>
      </c>
      <c r="P499" s="155">
        <f t="shared" si="1322"/>
        <v>10</v>
      </c>
      <c r="Q499" s="155">
        <f t="shared" ref="Q499:Q506" si="1336">IF(($W$6&lt;&gt;0),$W$6*-10,15)</f>
        <v>15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659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20</v>
      </c>
      <c r="P500" s="155">
        <f t="shared" si="1322"/>
        <v>10</v>
      </c>
      <c r="Q500" s="155">
        <f t="shared" si="1336"/>
        <v>15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659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20</v>
      </c>
      <c r="P501" s="155">
        <f t="shared" si="1322"/>
        <v>10</v>
      </c>
      <c r="Q501" s="155">
        <f t="shared" si="1336"/>
        <v>15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659</v>
      </c>
      <c r="G502" s="153"/>
      <c r="H502" s="154">
        <f t="shared" si="1341"/>
        <v>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20</v>
      </c>
      <c r="P502" s="155">
        <f t="shared" si="1322"/>
        <v>10</v>
      </c>
      <c r="Q502" s="155">
        <f t="shared" si="1336"/>
        <v>15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659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20</v>
      </c>
      <c r="P503" s="155">
        <f t="shared" si="1322"/>
        <v>10</v>
      </c>
      <c r="Q503" s="155">
        <f t="shared" si="1336"/>
        <v>15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659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20</v>
      </c>
      <c r="P504" s="155">
        <f t="shared" si="1322"/>
        <v>10</v>
      </c>
      <c r="Q504" s="155">
        <f t="shared" si="1336"/>
        <v>15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659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20</v>
      </c>
      <c r="P505" s="155">
        <f t="shared" si="1322"/>
        <v>10</v>
      </c>
      <c r="Q505" s="155">
        <f t="shared" si="1336"/>
        <v>15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659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20</v>
      </c>
      <c r="P506" s="155">
        <f t="shared" si="1322"/>
        <v>10</v>
      </c>
      <c r="Q506" s="155">
        <f t="shared" si="1336"/>
        <v>15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659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20</v>
      </c>
      <c r="P507" s="16">
        <f t="shared" ref="P507:P516" si="1354">IF(($V$6&lt;&gt;0),$V$6*10,-5)</f>
        <v>10</v>
      </c>
      <c r="Q507" s="16">
        <f t="shared" ref="Q507:Q516" si="1355">IF(($W$6&lt;&gt;0),$W$6*-10,10)</f>
        <v>10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659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20</v>
      </c>
      <c r="P508" s="16">
        <f t="shared" si="1354"/>
        <v>10</v>
      </c>
      <c r="Q508" s="16">
        <f t="shared" si="1355"/>
        <v>10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659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20</v>
      </c>
      <c r="P509" s="16">
        <f t="shared" si="1354"/>
        <v>10</v>
      </c>
      <c r="Q509" s="16">
        <f t="shared" si="1355"/>
        <v>10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659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20</v>
      </c>
      <c r="P510" s="16">
        <f t="shared" si="1354"/>
        <v>10</v>
      </c>
      <c r="Q510" s="16">
        <f t="shared" si="1355"/>
        <v>10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659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20</v>
      </c>
      <c r="P511" s="16">
        <f t="shared" si="1354"/>
        <v>10</v>
      </c>
      <c r="Q511" s="16">
        <f t="shared" si="1355"/>
        <v>10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659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20</v>
      </c>
      <c r="P512" s="16">
        <f t="shared" si="1354"/>
        <v>10</v>
      </c>
      <c r="Q512" s="16">
        <f t="shared" si="1355"/>
        <v>10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659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20</v>
      </c>
      <c r="P513" s="16">
        <f t="shared" si="1354"/>
        <v>10</v>
      </c>
      <c r="Q513" s="16">
        <f t="shared" si="1355"/>
        <v>10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659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20</v>
      </c>
      <c r="P514" s="16">
        <f t="shared" si="1354"/>
        <v>10</v>
      </c>
      <c r="Q514" s="16">
        <f t="shared" si="1355"/>
        <v>10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659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20</v>
      </c>
      <c r="P515" s="16">
        <f t="shared" si="1354"/>
        <v>10</v>
      </c>
      <c r="Q515" s="16">
        <f t="shared" si="1355"/>
        <v>10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659</v>
      </c>
      <c r="G516" s="14"/>
      <c r="H516" s="15">
        <f t="shared" si="1360"/>
        <v>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20</v>
      </c>
      <c r="P516" s="16">
        <f t="shared" si="1354"/>
        <v>10</v>
      </c>
      <c r="Q516" s="16">
        <f t="shared" si="1355"/>
        <v>10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659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20</v>
      </c>
      <c r="P517" s="16">
        <f>IF(($V$6&lt;&gt;0),$V$6*10,-5)</f>
        <v>10</v>
      </c>
      <c r="Q517" s="16">
        <f>IF(($W$6&lt;&gt;0),$W$6*-10,5)</f>
        <v>5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659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20</v>
      </c>
      <c r="P518" s="16">
        <f t="shared" ref="P518:P522" si="1381">IF(($V$6&lt;&gt;0),$V$6*10,-5)</f>
        <v>10</v>
      </c>
      <c r="Q518" s="16">
        <f t="shared" ref="Q518:Q522" si="1382">IF(($W$6&lt;&gt;0),$W$6*-10,5)</f>
        <v>5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659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20</v>
      </c>
      <c r="P519" s="16">
        <f t="shared" si="1381"/>
        <v>10</v>
      </c>
      <c r="Q519" s="16">
        <f t="shared" si="1382"/>
        <v>5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659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20</v>
      </c>
      <c r="P520" s="16">
        <f t="shared" si="1381"/>
        <v>10</v>
      </c>
      <c r="Q520" s="16">
        <f t="shared" si="1382"/>
        <v>5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659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20</v>
      </c>
      <c r="P521" s="16">
        <f t="shared" si="1381"/>
        <v>10</v>
      </c>
      <c r="Q521" s="16">
        <f t="shared" si="1382"/>
        <v>5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659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20</v>
      </c>
      <c r="P522" s="16">
        <f t="shared" si="1381"/>
        <v>10</v>
      </c>
      <c r="Q522" s="16">
        <f t="shared" si="1382"/>
        <v>5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21" t="s">
        <v>426</v>
      </c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2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660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0</v>
      </c>
      <c r="P524" s="16">
        <f t="shared" ref="P524:P546" si="1408">IF(($P$7&lt;&gt;0),$P$7*10,-5)</f>
        <v>-5</v>
      </c>
      <c r="Q524" s="16">
        <f t="shared" ref="Q524:Q527" si="1409">IF(($Q$7&lt;&gt;0),$Q$7*-10,20)</f>
        <v>-10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660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0</v>
      </c>
      <c r="P525" s="16">
        <f t="shared" si="1408"/>
        <v>-5</v>
      </c>
      <c r="Q525" s="16">
        <f t="shared" si="1409"/>
        <v>-10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660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0</v>
      </c>
      <c r="P526" s="16">
        <f t="shared" si="1408"/>
        <v>-5</v>
      </c>
      <c r="Q526" s="16">
        <f t="shared" si="1409"/>
        <v>-10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660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0</v>
      </c>
      <c r="P527" s="16">
        <f t="shared" si="1408"/>
        <v>-5</v>
      </c>
      <c r="Q527" s="16">
        <f t="shared" si="1409"/>
        <v>-10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660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0</v>
      </c>
      <c r="P528" s="16">
        <f t="shared" si="1408"/>
        <v>-5</v>
      </c>
      <c r="Q528" s="16">
        <f t="shared" ref="Q528:Q537" si="1434">IF(($Q$7&lt;&gt;0),$Q$7*-10,15)</f>
        <v>-10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660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0</v>
      </c>
      <c r="P529" s="16">
        <f t="shared" si="1408"/>
        <v>-5</v>
      </c>
      <c r="Q529" s="16">
        <f t="shared" si="1434"/>
        <v>-10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660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0</v>
      </c>
      <c r="P530" s="16">
        <f t="shared" si="1408"/>
        <v>-5</v>
      </c>
      <c r="Q530" s="16">
        <f t="shared" si="1434"/>
        <v>-10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660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0</v>
      </c>
      <c r="P531" s="16">
        <f t="shared" si="1408"/>
        <v>-5</v>
      </c>
      <c r="Q531" s="16">
        <f t="shared" si="1434"/>
        <v>-10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660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0</v>
      </c>
      <c r="P532" s="16">
        <f t="shared" si="1408"/>
        <v>-5</v>
      </c>
      <c r="Q532" s="16">
        <f t="shared" si="1434"/>
        <v>-10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660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0</v>
      </c>
      <c r="P533" s="16">
        <f t="shared" si="1408"/>
        <v>-5</v>
      </c>
      <c r="Q533" s="16">
        <f t="shared" si="1434"/>
        <v>-10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660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0</v>
      </c>
      <c r="P534" s="16">
        <f t="shared" si="1408"/>
        <v>-5</v>
      </c>
      <c r="Q534" s="16">
        <f t="shared" si="1434"/>
        <v>-10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660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0</v>
      </c>
      <c r="P535" s="16">
        <f t="shared" si="1408"/>
        <v>-5</v>
      </c>
      <c r="Q535" s="16">
        <f t="shared" si="1434"/>
        <v>-10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660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0</v>
      </c>
      <c r="P536" s="16">
        <f t="shared" si="1408"/>
        <v>-5</v>
      </c>
      <c r="Q536" s="16">
        <f t="shared" si="1434"/>
        <v>-10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660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0</v>
      </c>
      <c r="P537" s="16">
        <f t="shared" si="1408"/>
        <v>-5</v>
      </c>
      <c r="Q537" s="16">
        <f t="shared" si="1434"/>
        <v>-10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660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0</v>
      </c>
      <c r="P538" s="16">
        <f t="shared" si="1408"/>
        <v>-5</v>
      </c>
      <c r="Q538" s="16">
        <f t="shared" ref="Q538:Q546" si="1451">IF(($Q$7&lt;&gt;0),$Q$7*-10,10)</f>
        <v>-10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660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0</v>
      </c>
      <c r="P539" s="16">
        <f t="shared" si="1408"/>
        <v>-5</v>
      </c>
      <c r="Q539" s="16">
        <f t="shared" si="1451"/>
        <v>-10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660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0</v>
      </c>
      <c r="P540" s="16">
        <f t="shared" si="1408"/>
        <v>-5</v>
      </c>
      <c r="Q540" s="16">
        <f t="shared" si="1451"/>
        <v>-10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660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0</v>
      </c>
      <c r="P541" s="16">
        <f t="shared" si="1408"/>
        <v>-5</v>
      </c>
      <c r="Q541" s="16">
        <f t="shared" si="1451"/>
        <v>-10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660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0</v>
      </c>
      <c r="P542" s="16">
        <f t="shared" si="1408"/>
        <v>-5</v>
      </c>
      <c r="Q542" s="16">
        <f t="shared" si="1451"/>
        <v>-10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660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0</v>
      </c>
      <c r="P543" s="16">
        <f t="shared" si="1408"/>
        <v>-5</v>
      </c>
      <c r="Q543" s="16">
        <f t="shared" si="1451"/>
        <v>-10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660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0</v>
      </c>
      <c r="P544" s="16">
        <f t="shared" si="1408"/>
        <v>-5</v>
      </c>
      <c r="Q544" s="16">
        <f t="shared" si="1451"/>
        <v>-10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660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0</v>
      </c>
      <c r="P545" s="16">
        <f t="shared" si="1408"/>
        <v>-5</v>
      </c>
      <c r="Q545" s="16">
        <f t="shared" si="1451"/>
        <v>-10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660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0</v>
      </c>
      <c r="P546" s="16">
        <f t="shared" si="1408"/>
        <v>-5</v>
      </c>
      <c r="Q546" s="16">
        <f t="shared" si="1451"/>
        <v>-10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660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0</v>
      </c>
      <c r="P547" s="16">
        <f t="shared" ref="P547:P553" si="1477">IF(($P$7&lt;&gt;0),$P$7*10,-5)</f>
        <v>-5</v>
      </c>
      <c r="Q547" s="16">
        <f t="shared" ref="Q547:Q553" si="1478">IF(($Q$7&lt;&gt;0),$Q$7*-10,5)</f>
        <v>-10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660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0</v>
      </c>
      <c r="P548" s="16">
        <f t="shared" si="1477"/>
        <v>-5</v>
      </c>
      <c r="Q548" s="16">
        <f t="shared" si="1478"/>
        <v>-10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660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0</v>
      </c>
      <c r="P549" s="16">
        <f t="shared" si="1477"/>
        <v>-5</v>
      </c>
      <c r="Q549" s="16">
        <f t="shared" si="1478"/>
        <v>-10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660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0</v>
      </c>
      <c r="P550" s="16">
        <f t="shared" si="1477"/>
        <v>-5</v>
      </c>
      <c r="Q550" s="16">
        <f t="shared" si="1478"/>
        <v>-10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660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0</v>
      </c>
      <c r="P551" s="16">
        <f t="shared" si="1477"/>
        <v>-5</v>
      </c>
      <c r="Q551" s="16">
        <f t="shared" si="1478"/>
        <v>-10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660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0</v>
      </c>
      <c r="P552" s="16">
        <f t="shared" si="1477"/>
        <v>-5</v>
      </c>
      <c r="Q552" s="16">
        <f t="shared" si="1478"/>
        <v>-10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660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0</v>
      </c>
      <c r="P553" s="16">
        <f t="shared" si="1477"/>
        <v>-5</v>
      </c>
      <c r="Q553" s="16">
        <f t="shared" si="1478"/>
        <v>-10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73:W73"/>
    <mergeCell ref="D41:W41"/>
    <mergeCell ref="D377:W377"/>
    <mergeCell ref="D158:W158"/>
    <mergeCell ref="D464:W464"/>
    <mergeCell ref="D402:W402"/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C6" sqref="C6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10</v>
      </c>
      <c r="E3" s="32" t="s">
        <v>6</v>
      </c>
      <c r="F3" s="29"/>
      <c r="G3" s="30" t="s">
        <v>92</v>
      </c>
      <c r="H3" s="31">
        <f>'[2]Bax de Luxe'!$B$3</f>
        <v>15</v>
      </c>
      <c r="I3" s="32" t="s">
        <v>6</v>
      </c>
      <c r="J3" s="29"/>
      <c r="K3" s="30" t="s">
        <v>92</v>
      </c>
      <c r="L3" s="31">
        <f>[2]Nobody!$B$3</f>
        <v>7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Daniel Batz</v>
      </c>
      <c r="D5" s="115" t="str">
        <f>VLOOKUP(C5,Auswertung!$D$15:$F$1452,3,0)</f>
        <v>Mainz</v>
      </c>
      <c r="E5" s="116">
        <f>VLOOKUP(C5,Auswertung!$D$15:$W$1452,20,0)</f>
        <v>-5</v>
      </c>
      <c r="F5" s="39">
        <v>1</v>
      </c>
      <c r="G5" s="114" t="str">
        <f>VLOOKUP(F5,Spieltag!$L$2:$AB$1562,17,0)</f>
        <v>Manuel Neuer</v>
      </c>
      <c r="H5" s="115" t="str">
        <f>VLOOKUP(G5,Auswertung!$D$15:$F$1452,3,0)</f>
        <v>München</v>
      </c>
      <c r="I5" s="116">
        <f>VLOOKUP(G5,Auswertung!$D$15:$W$1452,20,0)</f>
        <v>80</v>
      </c>
      <c r="J5" s="39">
        <v>1</v>
      </c>
      <c r="K5" s="114" t="str">
        <f>VLOOKUP(J5,Spieltag!$M$2:$AB$1562,16,0)</f>
        <v>Koen Casteels (A)</v>
      </c>
      <c r="L5" s="115" t="str">
        <f>VLOOKUP(K5,Auswertung!$D$15:$F$1452,3,0)</f>
        <v>Wolfsburg</v>
      </c>
      <c r="M5" s="116">
        <f>VLOOKUP(K5,Auswertung!$D$15:$W$1452,20,0)</f>
        <v>60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Jonathan Tah</v>
      </c>
      <c r="D6" s="118" t="str">
        <f>VLOOKUP(C6,Auswertung!$D$15:$F$1452,3,0)</f>
        <v>Leverkusen</v>
      </c>
      <c r="E6" s="119">
        <f>VLOOKUP(C6,Auswertung!$D$15:$W$1452,20,0)</f>
        <v>75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90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20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Lukas Klostermann</v>
      </c>
      <c r="D7" s="118" t="str">
        <f>VLOOKUP(C7,Auswertung!$D$15:$F$1452,3,0)</f>
        <v>Leipzig</v>
      </c>
      <c r="E7" s="119">
        <f>VLOOKUP(C7,Auswertung!$D$15:$W$1452,20,0)</f>
        <v>55</v>
      </c>
      <c r="F7" s="42">
        <v>3</v>
      </c>
      <c r="G7" s="117" t="str">
        <f>VLOOKUP(F7,Spieltag!$L$2:$AB$1562,17,0)</f>
        <v>Waldemar Anton</v>
      </c>
      <c r="H7" s="118" t="str">
        <f>VLOOKUP(G7,Auswertung!$D$15:$F$1452,3,0)</f>
        <v>Stuttgart</v>
      </c>
      <c r="I7" s="119">
        <f>VLOOKUP(G7,Auswertung!$D$15:$W$1452,20,0)</f>
        <v>-25</v>
      </c>
      <c r="J7" s="42">
        <v>3</v>
      </c>
      <c r="K7" s="117" t="str">
        <f>VLOOKUP(J7,Spieltag!$M$2:$AB$1562,16,0)</f>
        <v>David Raum</v>
      </c>
      <c r="L7" s="118" t="str">
        <f>VLOOKUP(K7,Auswertung!$D$15:$F$1452,3,0)</f>
        <v>Leipzig</v>
      </c>
      <c r="M7" s="119">
        <f>VLOOKUP(K7,Auswertung!$D$15:$W$1452,20,0)</f>
        <v>50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Joakim Maehle (A)</v>
      </c>
      <c r="D8" s="118" t="str">
        <f>VLOOKUP(C8,Auswertung!$D$15:$F$1452,3,0)</f>
        <v>Wolfsburg</v>
      </c>
      <c r="E8" s="119">
        <f>VLOOKUP(C8,Auswertung!$D$15:$W$1452,20,0)</f>
        <v>55</v>
      </c>
      <c r="F8" s="42">
        <v>4</v>
      </c>
      <c r="G8" s="117" t="str">
        <f>VLOOKUP(F8,Spieltag!$L$2:$AB$1562,17,0)</f>
        <v>Matthias Ginter</v>
      </c>
      <c r="H8" s="118" t="str">
        <f>VLOOKUP(G8,Auswertung!$D$15:$F$1452,3,0)</f>
        <v>Freiburg</v>
      </c>
      <c r="I8" s="119">
        <f>VLOOKUP(G8,Auswertung!$D$15:$W$1452,20,0)</f>
        <v>65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90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Marco Reus</v>
      </c>
      <c r="D9" s="121" t="str">
        <f>VLOOKUP(C9,Auswertung!$D$15:$F$1452,3,0)</f>
        <v>Dortmund</v>
      </c>
      <c r="E9" s="122">
        <f>VLOOKUP(C9,Auswertung!$D$15:$W$1452,20,0)</f>
        <v>20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70</v>
      </c>
      <c r="J9" s="39">
        <v>5</v>
      </c>
      <c r="K9" s="120" t="str">
        <f>VLOOKUP(J9,Spieltag!$M$2:$AB$1562,16,0)</f>
        <v>Jonas Hofmann</v>
      </c>
      <c r="L9" s="121" t="str">
        <f>VLOOKUP(K9,Auswertung!$D$15:$F$1452,3,0)</f>
        <v>Leverkusen</v>
      </c>
      <c r="M9" s="122">
        <f>VLOOKUP(K9,Auswertung!$D$15:$W$1452,20,0)</f>
        <v>70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Lovro Majer (A)</v>
      </c>
      <c r="D10" s="121" t="str">
        <f>VLOOKUP(C10,Auswertung!$D$15:$F$1452,3,0)</f>
        <v>Wolfsburg</v>
      </c>
      <c r="E10" s="122">
        <f>VLOOKUP(C10,Auswertung!$D$15:$W$1452,20,0)</f>
        <v>60</v>
      </c>
      <c r="F10" s="39">
        <v>6</v>
      </c>
      <c r="G10" s="120" t="str">
        <f>VLOOKUP(F10,Spieltag!$L$2:$AB$1562,17,0)</f>
        <v>Chris Führich</v>
      </c>
      <c r="H10" s="121" t="str">
        <f>VLOOKUP(G10,Auswertung!$D$15:$F$1452,3,0)</f>
        <v>Stuttgart</v>
      </c>
      <c r="I10" s="122">
        <f>VLOOKUP(G10,Auswertung!$D$15:$W$1452,20,0)</f>
        <v>-25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20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70</v>
      </c>
      <c r="F11" s="42">
        <v>7</v>
      </c>
      <c r="G11" s="120" t="str">
        <f>VLOOKUP(F11,Spieltag!$L$2:$AB$1562,17,0)</f>
        <v>Christoph Baumgartner (A)</v>
      </c>
      <c r="H11" s="121" t="str">
        <f>VLOOKUP(G11,Auswertung!$D$15:$F$1452,3,0)</f>
        <v>Leipzig</v>
      </c>
      <c r="I11" s="122">
        <f>VLOOKUP(G11,Auswertung!$D$15:$W$1452,20,0)</f>
        <v>50</v>
      </c>
      <c r="J11" s="42">
        <v>7</v>
      </c>
      <c r="K11" s="120" t="str">
        <f>VLOOKUP(J11,Spieltag!$M$2:$AB$1562,16,0)</f>
        <v>Jamal Musiala</v>
      </c>
      <c r="L11" s="121" t="str">
        <f>VLOOKUP(K11,Auswertung!$D$15:$F$1452,3,0)</f>
        <v>München</v>
      </c>
      <c r="M11" s="122">
        <f>VLOOKUP(K11,Auswertung!$D$15:$W$1452,20,0)</f>
        <v>70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20</v>
      </c>
      <c r="F12" s="42">
        <v>8</v>
      </c>
      <c r="G12" s="120" t="str">
        <f>VLOOKUP(F12,Spieltag!$L$2:$AB$1562,17,0)</f>
        <v>Vincenzo Grifo</v>
      </c>
      <c r="H12" s="121" t="str">
        <f>VLOOKUP(G12,Auswertung!$D$15:$F$1452,3,0)</f>
        <v>Freiburg</v>
      </c>
      <c r="I12" s="122">
        <f>VLOOKUP(G12,Auswertung!$D$15:$W$1452,20,0)</f>
        <v>60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40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Leroy Sané</v>
      </c>
      <c r="D13" s="124" t="str">
        <f>VLOOKUP(C13,Auswertung!$D$15:$F$1452,3,0)</f>
        <v>München</v>
      </c>
      <c r="E13" s="125">
        <f>VLOOKUP(C13,Auswertung!$D$15:$W$1452,20,0)</f>
        <v>65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75</v>
      </c>
      <c r="J13" s="39">
        <v>9</v>
      </c>
      <c r="K13" s="123" t="str">
        <f>VLOOKUP(J13,Spieltag!$M$2:$AB$1562,16,0)</f>
        <v>Jonathan Burkardt</v>
      </c>
      <c r="L13" s="124" t="str">
        <f>VLOOKUP(K13,Auswertung!$D$15:$F$1452,3,0)</f>
        <v>Mainz</v>
      </c>
      <c r="M13" s="125">
        <f>VLOOKUP(K13,Auswertung!$D$15:$W$1452,20,0)</f>
        <v>-5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95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50</v>
      </c>
      <c r="J14" s="42">
        <v>10</v>
      </c>
      <c r="K14" s="123" t="str">
        <f>VLOOKUP(J14,Spieltag!$M$2:$AB$1562,16,0)</f>
        <v>Jonas Wind (A)</v>
      </c>
      <c r="L14" s="124" t="str">
        <f>VLOOKUP(K14,Auswertung!$D$15:$F$1452,3,0)</f>
        <v>Wolfsburg</v>
      </c>
      <c r="M14" s="125">
        <f>VLOOKUP(K14,Auswertung!$D$15:$W$1452,20,0)</f>
        <v>45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50</v>
      </c>
      <c r="F15" s="42">
        <v>11</v>
      </c>
      <c r="G15" s="123" t="str">
        <f>VLOOKUP(F15,Spieltag!$L$2:$AB$1562,17,0)</f>
        <v>Niclas Füllkrug</v>
      </c>
      <c r="H15" s="124" t="str">
        <f>VLOOKUP(G15,Auswertung!$D$15:$F$1452,3,0)</f>
        <v>Dortmund</v>
      </c>
      <c r="I15" s="125">
        <f>VLOOKUP(G15,Auswertung!$D$15:$W$1452,20,0)</f>
        <v>20</v>
      </c>
      <c r="J15" s="42">
        <v>11</v>
      </c>
      <c r="K15" s="123" t="str">
        <f>VLOOKUP(J15,Spieltag!$M$2:$AB$1562,16,0)</f>
        <v>Harry Kane (A)</v>
      </c>
      <c r="L15" s="124" t="str">
        <f>VLOOKUP(K15,Auswertung!$D$15:$F$1452,3,0)</f>
        <v>München</v>
      </c>
      <c r="M15" s="125">
        <f>VLOOKUP(K15,Auswertung!$D$15:$W$1452,20,0)</f>
        <v>95</v>
      </c>
    </row>
    <row r="16" spans="1:13" ht="11.25" customHeight="1" thickBot="1" x14ac:dyDescent="0.25">
      <c r="E16" s="47">
        <f>SUM(E5:E15)</f>
        <v>560</v>
      </c>
      <c r="G16" s="208"/>
      <c r="I16" s="47">
        <f>SUM(I5:I15)</f>
        <v>510</v>
      </c>
      <c r="M16" s="47">
        <f>SUM(M5:M15)</f>
        <v>555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6</v>
      </c>
      <c r="E20" s="32" t="s">
        <v>6</v>
      </c>
      <c r="F20" s="29"/>
      <c r="G20" s="30" t="s">
        <v>92</v>
      </c>
      <c r="H20" s="31">
        <f>[2]Pitti!$B$3</f>
        <v>3</v>
      </c>
      <c r="I20" s="32" t="s">
        <v>6</v>
      </c>
      <c r="J20" s="29"/>
      <c r="K20" s="30" t="s">
        <v>92</v>
      </c>
      <c r="L20" s="31">
        <f>[2]Himmelfahrtskommando!$B$3</f>
        <v>4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Janis Blaswich</v>
      </c>
      <c r="D22" s="115" t="str">
        <f>VLOOKUP(C22,Auswertung!$D$15:$F$1452,3,0)</f>
        <v>Leipzig</v>
      </c>
      <c r="E22" s="116">
        <f>VLOOKUP(C22,Auswertung!$D$15:$W$1452,20,0)</f>
        <v>50</v>
      </c>
      <c r="F22" s="38">
        <v>1</v>
      </c>
      <c r="G22" s="114" t="str">
        <f>VLOOKUP(F22,Spieltag!$O$2:$AB$1562,14,0)</f>
        <v>Kevin Trapp</v>
      </c>
      <c r="H22" s="115" t="str">
        <f>VLOOKUP(G22,Auswertung!$D$15:$F$1452,3,0)</f>
        <v>Frankfurt</v>
      </c>
      <c r="I22" s="116">
        <f>VLOOKUP(G22,Auswertung!$D$15:$W$1452,20,0)</f>
        <v>-25</v>
      </c>
      <c r="J22" s="39">
        <v>1</v>
      </c>
      <c r="K22" s="114" t="str">
        <f>VLOOKUP(J22,Spieltag!$P$2:$AB$1562,13,0)</f>
        <v>Koen Casteels (A)</v>
      </c>
      <c r="L22" s="115" t="str">
        <f>VLOOKUP(K22,Auswertung!$D$15:$F$1452,3,0)</f>
        <v>Wolfsburg</v>
      </c>
      <c r="M22" s="116">
        <f>VLOOKUP(K22,Auswertung!$D$15:$W$1452,20,0)</f>
        <v>60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20</v>
      </c>
      <c r="F23" s="38">
        <v>2</v>
      </c>
      <c r="G23" s="117" t="str">
        <f>VLOOKUP(F23,Spieltag!$O$2:$AB$1562,14,0)</f>
        <v>Maxence Lacroix (A)</v>
      </c>
      <c r="H23" s="118" t="str">
        <f>VLOOKUP(G23,Auswertung!$D$15:$F$1452,3,0)</f>
        <v>Wolfsburg</v>
      </c>
      <c r="I23" s="119">
        <f>VLOOKUP(G23,Auswertung!$D$15:$W$1452,20,0)</f>
        <v>25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50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Matthias Ginter</v>
      </c>
      <c r="D24" s="118" t="str">
        <f>VLOOKUP(C24,Auswertung!$D$15:$F$1452,3,0)</f>
        <v>Freiburg</v>
      </c>
      <c r="E24" s="119">
        <f>VLOOKUP(C24,Auswertung!$D$15:$W$1452,20,0)</f>
        <v>65</v>
      </c>
      <c r="F24" s="27">
        <v>3</v>
      </c>
      <c r="G24" s="117" t="str">
        <f>VLOOKUP(F24,Spieltag!$O$2:$AB$1562,14,0)</f>
        <v>Luca Netz</v>
      </c>
      <c r="H24" s="118" t="str">
        <f>VLOOKUP(G24,Auswertung!$D$15:$F$1452,3,0)</f>
        <v>M'gladbach</v>
      </c>
      <c r="I24" s="119">
        <f>VLOOKUP(G24,Auswertung!$D$15:$W$1452,20,0)</f>
        <v>10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50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90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75</v>
      </c>
      <c r="J25" s="42">
        <v>4</v>
      </c>
      <c r="K25" s="117" t="str">
        <f>VLOOKUP(J25,Spieltag!$P$2:$AB$1562,13,0)</f>
        <v>Nico Elvedi (A)</v>
      </c>
      <c r="L25" s="118" t="str">
        <f>VLOOKUP(K25,Auswertung!$D$15:$F$1452,3,0)</f>
        <v>M'gladbach</v>
      </c>
      <c r="M25" s="119">
        <f>VLOOKUP(K25,Auswertung!$D$15:$W$1452,20,0)</f>
        <v>10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20</v>
      </c>
      <c r="F26" s="38">
        <v>5</v>
      </c>
      <c r="G26" s="120" t="str">
        <f>VLOOKUP(F26,Spieltag!$O$2:$AB$1562,14,0)</f>
        <v>Kevin Kampl (A)</v>
      </c>
      <c r="H26" s="121" t="str">
        <f>VLOOKUP(G26,Auswertung!$D$15:$F$1452,3,0)</f>
        <v>Leipzig</v>
      </c>
      <c r="I26" s="122">
        <f>VLOOKUP(G26,Auswertung!$D$15:$W$1452,20,0)</f>
        <v>50</v>
      </c>
      <c r="J26" s="39">
        <v>5</v>
      </c>
      <c r="K26" s="120" t="str">
        <f>VLOOKUP(J26,Spieltag!$P$2:$AB$1562,13,0)</f>
        <v>Vincenzo Grifo</v>
      </c>
      <c r="L26" s="121" t="str">
        <f>VLOOKUP(K26,Auswertung!$D$15:$F$1452,3,0)</f>
        <v>Freiburg</v>
      </c>
      <c r="M26" s="122">
        <f>VLOOKUP(K26,Auswertung!$D$15:$W$1452,20,0)</f>
        <v>60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Xavi Simons (A)</v>
      </c>
      <c r="D27" s="121" t="str">
        <f>VLOOKUP(C27,Auswertung!$D$15:$F$1452,3,0)</f>
        <v>Leipzig</v>
      </c>
      <c r="E27" s="122">
        <f>VLOOKUP(C27,Auswertung!$D$15:$W$1452,20,0)</f>
        <v>40</v>
      </c>
      <c r="F27" s="38">
        <v>6</v>
      </c>
      <c r="G27" s="120" t="str">
        <f>VLOOKUP(F27,Spieltag!$O$2:$AB$1562,14,0)</f>
        <v>Leon Goretzka</v>
      </c>
      <c r="H27" s="121" t="str">
        <f>VLOOKUP(G27,Auswertung!$D$15:$F$1452,3,0)</f>
        <v>München</v>
      </c>
      <c r="I27" s="122">
        <f>VLOOKUP(G27,Auswertung!$D$15:$W$1452,20,0)</f>
        <v>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80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Yannick Gerhardt</v>
      </c>
      <c r="D28" s="121" t="str">
        <f>VLOOKUP(C28,Auswertung!$D$15:$F$1452,3,0)</f>
        <v>Wolfsburg</v>
      </c>
      <c r="E28" s="122">
        <f>VLOOKUP(C28,Auswertung!$D$15:$W$1452,20,0)</f>
        <v>50</v>
      </c>
      <c r="F28" s="27">
        <v>7</v>
      </c>
      <c r="G28" s="120" t="str">
        <f>VLOOKUP(F28,Spieltag!$O$2:$AB$1562,14,0)</f>
        <v>Ridle Baku</v>
      </c>
      <c r="H28" s="121" t="str">
        <f>VLOOKUP(G28,Auswertung!$D$15:$F$1452,3,0)</f>
        <v>Wolfsburg</v>
      </c>
      <c r="I28" s="122">
        <f>VLOOKUP(G28,Auswertung!$D$15:$W$1452,20,0)</f>
        <v>50</v>
      </c>
      <c r="J28" s="42">
        <v>7</v>
      </c>
      <c r="K28" s="120" t="str">
        <f>VLOOKUP(J28,Spieltag!$P$2:$AB$1562,13,0)</f>
        <v>Ridle Baku</v>
      </c>
      <c r="L28" s="121" t="str">
        <f>VLOOKUP(K28,Auswertung!$D$15:$F$1452,3,0)</f>
        <v>Wolfsburg</v>
      </c>
      <c r="M28" s="122">
        <f>VLOOKUP(K28,Auswertung!$D$15:$W$1452,20,0)</f>
        <v>50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Florian Wirtz</v>
      </c>
      <c r="D29" s="121" t="str">
        <f>VLOOKUP(C29,Auswertung!$D$15:$F$1452,3,0)</f>
        <v>Leverkusen</v>
      </c>
      <c r="E29" s="122">
        <f>VLOOKUP(C29,Auswertung!$D$15:$W$1452,20,0)</f>
        <v>80</v>
      </c>
      <c r="F29" s="27">
        <v>8</v>
      </c>
      <c r="G29" s="120" t="str">
        <f>VLOOKUP(F29,Spieltag!$O$2:$AB$1562,14,0)</f>
        <v>Julian Weigl</v>
      </c>
      <c r="H29" s="121" t="str">
        <f>VLOOKUP(G29,Auswertung!$D$15:$F$1452,3,0)</f>
        <v>M'gladbach</v>
      </c>
      <c r="I29" s="122">
        <f>VLOOKUP(G29,Auswertung!$D$15:$W$1452,20,0)</f>
        <v>10</v>
      </c>
      <c r="J29" s="42">
        <v>8</v>
      </c>
      <c r="K29" s="120" t="str">
        <f>VLOOKUP(J29,Spieltag!$P$2:$AB$1562,13,0)</f>
        <v>Leon Goretzka</v>
      </c>
      <c r="L29" s="121" t="str">
        <f>VLOOKUP(K29,Auswertung!$D$15:$F$1452,3,0)</f>
        <v>München</v>
      </c>
      <c r="M29" s="122">
        <f>VLOOKUP(K29,Auswertung!$D$15:$W$1452,20,0)</f>
        <v>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Harry Kane (A)</v>
      </c>
      <c r="D30" s="124" t="str">
        <f>VLOOKUP(C30,Auswertung!$D$15:$F$1452,3,0)</f>
        <v>München</v>
      </c>
      <c r="E30" s="125">
        <f>VLOOKUP(C30,Auswertung!$D$15:$W$1452,20,0)</f>
        <v>95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75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95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Alassane Plea (A)</v>
      </c>
      <c r="D31" s="124" t="str">
        <f>VLOOKUP(C31,Auswertung!$D$15:$F$1452,3,0)</f>
        <v>M'gladbach</v>
      </c>
      <c r="E31" s="125">
        <f>VLOOKUP(C31,Auswertung!$D$15:$W$1452,20,0)</f>
        <v>20</v>
      </c>
      <c r="F31" s="27">
        <v>10</v>
      </c>
      <c r="G31" s="123" t="str">
        <f>VLOOKUP(F31,Spieltag!$O$2:$AB$1562,14,0)</f>
        <v>Loїs Openda (A)</v>
      </c>
      <c r="H31" s="124" t="str">
        <f>VLOOKUP(G31,Auswertung!$D$15:$F$1452,3,0)</f>
        <v>Leipzig</v>
      </c>
      <c r="I31" s="125">
        <f>VLOOKUP(G31,Auswertung!$D$15:$W$1452,20,0)</f>
        <v>50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75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75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95</v>
      </c>
      <c r="J32" s="42">
        <v>11</v>
      </c>
      <c r="K32" s="123" t="str">
        <f>VLOOKUP(J32,Spieltag!$P$2:$AB$1562,13,0)</f>
        <v>Alassane Plea (A)</v>
      </c>
      <c r="L32" s="124" t="str">
        <f>VLOOKUP(K32,Auswertung!$D$15:$F$1452,3,0)</f>
        <v>M'gladbach</v>
      </c>
      <c r="M32" s="125">
        <f>VLOOKUP(K32,Auswertung!$D$15:$W$1452,20,0)</f>
        <v>20</v>
      </c>
    </row>
    <row r="33" spans="1:13" ht="11.25" customHeight="1" thickBot="1" x14ac:dyDescent="0.25">
      <c r="C33" s="48"/>
      <c r="E33" s="47">
        <f>SUM(E22:E32)</f>
        <v>605</v>
      </c>
      <c r="G33" s="48"/>
      <c r="I33" s="52">
        <f>SUM(I22:I32)</f>
        <v>415</v>
      </c>
      <c r="K33" s="48"/>
      <c r="L33" s="28"/>
      <c r="M33" s="52">
        <f>SUM(M22:M32)</f>
        <v>550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9</v>
      </c>
      <c r="E37" s="32" t="s">
        <v>6</v>
      </c>
      <c r="F37" s="29"/>
      <c r="G37" s="30" t="s">
        <v>92</v>
      </c>
      <c r="H37" s="31">
        <f>[2]Markus!$B$3</f>
        <v>14</v>
      </c>
      <c r="I37" s="32" t="s">
        <v>6</v>
      </c>
      <c r="J37" s="29"/>
      <c r="K37" s="30" t="s">
        <v>92</v>
      </c>
      <c r="L37" s="31">
        <f>[2]Rainer!$B$3</f>
        <v>7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Koen Casteels (A)</v>
      </c>
      <c r="D39" s="115" t="str">
        <f>VLOOKUP(C39,Auswertung!$D$15:$F$1452,3,0)</f>
        <v>Wolfsburg</v>
      </c>
      <c r="E39" s="116">
        <f>VLOOKUP(C39,Auswertung!$D$15:$W$1452,20,0)</f>
        <v>60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50</v>
      </c>
      <c r="J39" s="38">
        <v>1</v>
      </c>
      <c r="K39" s="114" t="str">
        <f>VLOOKUP(J39,Spieltag!$S$2:$AB$1562,10,0)</f>
        <v>Gregor Kobel (A)</v>
      </c>
      <c r="L39" s="115" t="str">
        <f>VLOOKUP(K39,Auswertung!$D$15:$F$1452,3,0)</f>
        <v>Dortmund</v>
      </c>
      <c r="M39" s="116">
        <f>VLOOKUP(K39,Auswertung!$D$15:$W$1452,20,0)</f>
        <v>20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75</v>
      </c>
      <c r="F40" s="39">
        <v>2</v>
      </c>
      <c r="G40" s="117" t="str">
        <f>VLOOKUP(F40,Spieltag!$R$2:$AB$1562,11,0)</f>
        <v>Matthias Ginter</v>
      </c>
      <c r="H40" s="118" t="str">
        <f>VLOOKUP(G40,Auswertung!$D$15:$F$1452,3,0)</f>
        <v>Freiburg</v>
      </c>
      <c r="I40" s="119">
        <f>VLOOKUP(G40,Auswertung!$D$15:$W$1452,20,0)</f>
        <v>65</v>
      </c>
      <c r="J40" s="38">
        <v>2</v>
      </c>
      <c r="K40" s="117" t="str">
        <f>VLOOKUP(J40,Spieltag!$S$2:$AB$1562,10,0)</f>
        <v>David Raum</v>
      </c>
      <c r="L40" s="118" t="str">
        <f>VLOOKUP(K40,Auswertung!$D$15:$F$1452,3,0)</f>
        <v>Leipzig</v>
      </c>
      <c r="M40" s="119">
        <f>VLOOKUP(K40,Auswertung!$D$15:$W$1452,20,0)</f>
        <v>50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50</v>
      </c>
      <c r="F41" s="42">
        <v>3</v>
      </c>
      <c r="G41" s="117" t="str">
        <f>VLOOKUP(F41,Spieltag!$R$2:$AB$1562,11,0)</f>
        <v>David Raum</v>
      </c>
      <c r="H41" s="118" t="str">
        <f>VLOOKUP(G41,Auswertung!$D$15:$F$1452,3,0)</f>
        <v>Leipzig</v>
      </c>
      <c r="I41" s="119">
        <f>VLOOKUP(G41,Auswertung!$D$15:$W$1452,20,0)</f>
        <v>50</v>
      </c>
      <c r="J41" s="27">
        <v>3</v>
      </c>
      <c r="K41" s="117" t="str">
        <f>VLOOKUP(J41,Spieltag!$S$2:$AB$1562,10,0)</f>
        <v>Nico Elvedi (A)</v>
      </c>
      <c r="L41" s="118" t="str">
        <f>VLOOKUP(K41,Auswertung!$D$15:$F$1452,3,0)</f>
        <v>M'gladbach</v>
      </c>
      <c r="M41" s="119">
        <f>VLOOKUP(K41,Auswertung!$D$15:$W$1452,20,0)</f>
        <v>10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Nico Elvedi (A)</v>
      </c>
      <c r="D42" s="118" t="str">
        <f>VLOOKUP(C42,Auswertung!$D$15:$F$1452,3,0)</f>
        <v>M'gladbach</v>
      </c>
      <c r="E42" s="119">
        <f>VLOOKUP(C42,Auswertung!$D$15:$W$1452,20,0)</f>
        <v>10</v>
      </c>
      <c r="F42" s="42">
        <v>4</v>
      </c>
      <c r="G42" s="117" t="str">
        <f>VLOOKUP(F42,Spieltag!$R$2:$AB$1562,11,0)</f>
        <v>Maxence Lacroix (A)</v>
      </c>
      <c r="H42" s="118" t="str">
        <f>VLOOKUP(G42,Auswertung!$D$15:$F$1452,3,0)</f>
        <v>Wolfsburg</v>
      </c>
      <c r="I42" s="119">
        <f>VLOOKUP(G42,Auswertung!$D$15:$W$1452,20,0)</f>
        <v>25</v>
      </c>
      <c r="J42" s="27">
        <v>4</v>
      </c>
      <c r="K42" s="117" t="str">
        <f>VLOOKUP(J42,Spieltag!$S$2:$AB$1562,10,0)</f>
        <v>Matthias Ginter</v>
      </c>
      <c r="L42" s="118" t="str">
        <f>VLOOKUP(K42,Auswertung!$D$15:$F$1452,3,0)</f>
        <v>Freiburg</v>
      </c>
      <c r="M42" s="119">
        <f>VLOOKUP(K42,Auswertung!$D$15:$W$1452,20,0)</f>
        <v>65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50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70</v>
      </c>
      <c r="J43" s="38">
        <v>5</v>
      </c>
      <c r="K43" s="120" t="str">
        <f>VLOOKUP(J43,Spieltag!$S$2:$AB$1562,10,0)</f>
        <v>Joshua Kimmich</v>
      </c>
      <c r="L43" s="121" t="str">
        <f>VLOOKUP(K43,Auswertung!$D$15:$F$1452,3,0)</f>
        <v>München</v>
      </c>
      <c r="M43" s="122">
        <f>VLOOKUP(K43,Auswertung!$D$15:$W$1452,20,0)</f>
        <v>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Leon Goretzka</v>
      </c>
      <c r="D44" s="121" t="str">
        <f>VLOOKUP(C44,Auswertung!$D$15:$F$1452,3,0)</f>
        <v>München</v>
      </c>
      <c r="E44" s="122">
        <f>VLOOKUP(C44,Auswertung!$D$15:$W$1452,20,0)</f>
        <v>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80</v>
      </c>
      <c r="J44" s="38">
        <v>6</v>
      </c>
      <c r="K44" s="120" t="str">
        <f>VLOOKUP(J44,Spieltag!$S$2:$AB$1562,10,0)</f>
        <v>Vincenzo Grifo</v>
      </c>
      <c r="L44" s="121" t="str">
        <f>VLOOKUP(K44,Auswertung!$D$15:$F$1452,3,0)</f>
        <v>Freiburg</v>
      </c>
      <c r="M44" s="122">
        <f>VLOOKUP(K44,Auswertung!$D$15:$W$1452,20,0)</f>
        <v>60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Yannick Gerhardt</v>
      </c>
      <c r="D45" s="121" t="str">
        <f>VLOOKUP(C45,Auswertung!$D$15:$F$1452,3,0)</f>
        <v>Wolfsburg</v>
      </c>
      <c r="E45" s="122">
        <f>VLOOKUP(C45,Auswertung!$D$15:$W$1452,20,0)</f>
        <v>50</v>
      </c>
      <c r="F45" s="42">
        <v>7</v>
      </c>
      <c r="G45" s="120" t="str">
        <f>VLOOKUP(F45,Spieltag!$R$2:$AB$1562,11,0)</f>
        <v>Yannick Gerhardt</v>
      </c>
      <c r="H45" s="121" t="str">
        <f>VLOOKUP(G45,Auswertung!$D$15:$F$1452,3,0)</f>
        <v>Wolfsburg</v>
      </c>
      <c r="I45" s="122">
        <f>VLOOKUP(G45,Auswertung!$D$15:$W$1452,20,0)</f>
        <v>50</v>
      </c>
      <c r="J45" s="27">
        <v>7</v>
      </c>
      <c r="K45" s="120" t="str">
        <f>VLOOKUP(J45,Spieltag!$S$2:$AB$1562,10,0)</f>
        <v>Xavi Simons (A)</v>
      </c>
      <c r="L45" s="121" t="str">
        <f>VLOOKUP(K45,Auswertung!$D$15:$F$1452,3,0)</f>
        <v>Leipzig</v>
      </c>
      <c r="M45" s="122">
        <f>VLOOKUP(K45,Auswertung!$D$15:$W$1452,20,0)</f>
        <v>40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80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20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70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95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95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95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Niclas Füllkrug</v>
      </c>
      <c r="D48" s="124" t="str">
        <f>VLOOKUP(C48,Auswertung!$D$15:$F$1452,3,0)</f>
        <v>Dortmund</v>
      </c>
      <c r="E48" s="125">
        <f>VLOOKUP(C48,Auswertung!$D$15:$W$1452,20,0)</f>
        <v>20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65</v>
      </c>
      <c r="J48" s="27">
        <v>10</v>
      </c>
      <c r="K48" s="123" t="str">
        <f>VLOOKUP(J48,Spieltag!$S$2:$AB$1562,10,0)</f>
        <v>Niclas Füllkrug</v>
      </c>
      <c r="L48" s="124" t="str">
        <f>VLOOKUP(K48,Auswertung!$D$15:$F$1452,3,0)</f>
        <v>Dortmund</v>
      </c>
      <c r="M48" s="125">
        <f>VLOOKUP(K48,Auswertung!$D$15:$W$1452,20,0)</f>
        <v>20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30</v>
      </c>
      <c r="F49" s="42">
        <v>11</v>
      </c>
      <c r="G49" s="123" t="str">
        <f>VLOOKUP(F49,Spieltag!$R$2:$AB$1562,11,0)</f>
        <v>Niclas Füllkrug</v>
      </c>
      <c r="H49" s="124" t="str">
        <f>VLOOKUP(G49,Auswertung!$D$15:$F$1452,3,0)</f>
        <v>Dortmund</v>
      </c>
      <c r="I49" s="125">
        <f>VLOOKUP(G49,Auswertung!$D$15:$W$1452,20,0)</f>
        <v>20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75</v>
      </c>
    </row>
    <row r="50" spans="1:13" ht="11.25" customHeight="1" thickBot="1" x14ac:dyDescent="0.25">
      <c r="C50" s="48"/>
      <c r="D50" s="28"/>
      <c r="E50" s="52">
        <f>SUM(E39:E49)</f>
        <v>520</v>
      </c>
      <c r="G50" s="48"/>
      <c r="I50" s="52">
        <f>SUM(I39:I49)</f>
        <v>590</v>
      </c>
      <c r="K50" s="208"/>
      <c r="L50" s="208"/>
      <c r="M50" s="52">
        <f>SUM(M39:M49)</f>
        <v>505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Stuttgart</v>
      </c>
      <c r="E5" s="82">
        <f>IF(('[1]15. Spieltag'!D5=""),"",('[1]15. Spieltag'!D5))</f>
        <v>3</v>
      </c>
      <c r="F5" s="83">
        <f>IF(('[1]15. Spieltag'!E5=""),"",('[1]15. Spieltag'!E5))</f>
        <v>1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IF(('[1]15. Spieltag'!H5=""),"",('[1]15. Spieltag'!H5))</f>
        <v>2</v>
      </c>
      <c r="J5" s="83">
        <f>IF(('[1]15. Spieltag'!I5=""),"",('[1]15.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IF(('[1]15. Spieltag'!L5=""),"",('[1]15. Spieltag'!L5))</f>
        <v>3</v>
      </c>
      <c r="N5" s="83">
        <f>IF(('[1]15. Spieltag'!M5=""),"",('[1]15. Spieltag'!M5))</f>
        <v>1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IF(('[1]15. Spieltag'!P5=""),"",('[1]15. Spieltag'!P5))</f>
        <v>3</v>
      </c>
      <c r="R5" s="83">
        <f>IF(('[1]15. Spieltag'!Q5=""),"",('[1]15. Spieltag'!Q5))</f>
        <v>1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IF(('[1]15. Spieltag'!T5=""),"",('[1]15. Spieltag'!T5))</f>
        <v>3</v>
      </c>
      <c r="V5" s="83">
        <f>IF(('[1]15. Spieltag'!U5=""),"",('[1]15. Spieltag'!U5))</f>
        <v>1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Leipzig</v>
      </c>
      <c r="C6" s="87" t="str">
        <f>Auswertung!$E$2</f>
        <v>Hoffenheim</v>
      </c>
      <c r="E6" s="82">
        <f>IF(('[1]15. Spieltag'!D6=""),"",('[1]15. Spieltag'!D6))</f>
        <v>3</v>
      </c>
      <c r="F6" s="83">
        <f>IF(('[1]15. Spieltag'!E6=""),"",('[1]15.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60</v>
      </c>
      <c r="I6" s="82">
        <f>IF(('[1]15. Spieltag'!H6=""),"",('[1]15. Spieltag'!H6))</f>
        <v>2</v>
      </c>
      <c r="J6" s="83">
        <f>IF(('[1]15. Spieltag'!I6=""),"",('[1]15. Spieltag'!I6))</f>
        <v>0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40</v>
      </c>
      <c r="M6" s="82">
        <f>IF(('[1]15. Spieltag'!L6=""),"",('[1]15. Spieltag'!L6))</f>
        <v>3</v>
      </c>
      <c r="N6" s="83">
        <f>IF(('[1]15. Spieltag'!M6=""),"",('[1]15.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60</v>
      </c>
      <c r="Q6" s="82">
        <f>IF(('[1]15. Spieltag'!P6=""),"",('[1]15. Spieltag'!P6))</f>
        <v>3</v>
      </c>
      <c r="R6" s="83">
        <f>IF(('[1]15. Spieltag'!Q6=""),"",('[1]15.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60</v>
      </c>
      <c r="U6" s="82">
        <f>IF(('[1]15. Spieltag'!T6=""),"",('[1]15. Spieltag'!T6))</f>
        <v>3</v>
      </c>
      <c r="V6" s="83">
        <f>IF(('[1]15. Spieltag'!U6=""),"",('[1]15.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60</v>
      </c>
    </row>
    <row r="7" spans="1:30" ht="11.25" customHeight="1" x14ac:dyDescent="0.2">
      <c r="A7" s="85"/>
      <c r="B7" s="86" t="str">
        <f>Auswertung!$D$3</f>
        <v>Freiburg</v>
      </c>
      <c r="C7" s="87" t="str">
        <f>Auswertung!$E$3</f>
        <v>Köln</v>
      </c>
      <c r="E7" s="82">
        <f>IF(('[1]15. Spieltag'!D7=""),"",('[1]15. Spieltag'!D7))</f>
        <v>2</v>
      </c>
      <c r="F7" s="83">
        <f>IF(('[1]15. Spieltag'!E7=""),"",('[1]15. Spieltag'!E7))</f>
        <v>2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IF(('[1]15. Spieltag'!H7=""),"",('[1]15. Spieltag'!H7))</f>
        <v>3</v>
      </c>
      <c r="J7" s="83">
        <f>IF(('[1]15. Spieltag'!I7=""),"",('[1]15.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40</v>
      </c>
      <c r="M7" s="82">
        <f>IF(('[1]15. Spieltag'!L7=""),"",('[1]15. Spieltag'!L7))</f>
        <v>3</v>
      </c>
      <c r="N7" s="83">
        <f>IF(('[1]15. Spieltag'!M7=""),"",('[1]15.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40</v>
      </c>
      <c r="Q7" s="82">
        <f>IF(('[1]15. Spieltag'!P7=""),"",('[1]15. Spieltag'!P7))</f>
        <v>2</v>
      </c>
      <c r="R7" s="83">
        <f>IF(('[1]15. Spieltag'!Q7=""),"",('[1]15. Spieltag'!Q7))</f>
        <v>2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0</v>
      </c>
      <c r="U7" s="82">
        <f>IF(('[1]15. Spieltag'!T7=""),"",('[1]15. Spieltag'!T7))</f>
        <v>3</v>
      </c>
      <c r="V7" s="83">
        <f>IF(('[1]15. Spieltag'!U7=""),"",('[1]15.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40</v>
      </c>
    </row>
    <row r="8" spans="1:30" ht="11.25" customHeight="1" x14ac:dyDescent="0.2">
      <c r="A8" s="85"/>
      <c r="B8" s="86" t="str">
        <f>Auswertung!$D$4</f>
        <v>Leverkusen</v>
      </c>
      <c r="C8" s="87" t="str">
        <f>Auswertung!$E$4</f>
        <v>Frankfurt</v>
      </c>
      <c r="E8" s="82">
        <f>IF(('[1]15. Spieltag'!D8=""),"",('[1]15. Spieltag'!D8))</f>
        <v>3</v>
      </c>
      <c r="F8" s="83">
        <f>IF(('[1]15. Spieltag'!E8=""),"",('[1]15.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IF(('[1]15. Spieltag'!H8=""),"",('[1]15. Spieltag'!H8))</f>
        <v>2</v>
      </c>
      <c r="J8" s="83">
        <f>IF(('[1]15. Spieltag'!I8=""),"",('[1]15.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IF(('[1]15. Spieltag'!L8=""),"",('[1]15. Spieltag'!L8))</f>
        <v>3</v>
      </c>
      <c r="N8" s="83">
        <f>IF(('[1]15. Spieltag'!M8=""),"",('[1]15.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20</v>
      </c>
      <c r="Q8" s="82">
        <f>IF(('[1]15. Spieltag'!P8=""),"",('[1]15. Spieltag'!P8))</f>
        <v>3</v>
      </c>
      <c r="R8" s="83">
        <f>IF(('[1]15. Spieltag'!Q8=""),"",('[1]15.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IF(('[1]15. Spieltag'!T8=""),"",('[1]15. Spieltag'!T8))</f>
        <v>3</v>
      </c>
      <c r="V8" s="83">
        <f>IF(('[1]15. Spieltag'!U8=""),"",('[1]15. Spieltag'!U8))</f>
        <v>2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20</v>
      </c>
    </row>
    <row r="9" spans="1:30" ht="11.25" customHeight="1" x14ac:dyDescent="0.2">
      <c r="A9" s="85"/>
      <c r="B9" s="86" t="str">
        <f>Auswertung!$D$5</f>
        <v>Mainz</v>
      </c>
      <c r="C9" s="87" t="str">
        <f>Auswertung!$E$5</f>
        <v>Heidenheim</v>
      </c>
      <c r="E9" s="82">
        <f>IF(('[1]15. Spieltag'!D9=""),"",('[1]15. Spieltag'!D9))</f>
        <v>2</v>
      </c>
      <c r="F9" s="83">
        <f>IF(('[1]15. Spieltag'!E9=""),"",('[1]15.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IF(('[1]15. Spieltag'!H9=""),"",('[1]15. Spieltag'!H9))</f>
        <v>1</v>
      </c>
      <c r="J9" s="83">
        <f>IF(('[1]15. Spieltag'!I9=""),"",('[1]15.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IF(('[1]15. Spieltag'!L9=""),"",('[1]15. Spieltag'!L9))</f>
        <v>2</v>
      </c>
      <c r="N9" s="83">
        <f>IF(('[1]15. Spieltag'!M9=""),"",('[1]15.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IF(('[1]15. Spieltag'!P9=""),"",('[1]15. Spieltag'!P9))</f>
        <v>2</v>
      </c>
      <c r="R9" s="83">
        <f>IF(('[1]15. Spieltag'!Q9=""),"",('[1]15.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IF(('[1]15. Spieltag'!T9=""),"",('[1]15. Spieltag'!T9))</f>
        <v>2</v>
      </c>
      <c r="V9" s="83">
        <f>IF(('[1]15. Spieltag'!U9=""),"",('[1]15.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M'gladbach</v>
      </c>
      <c r="C10" s="87" t="str">
        <f>Auswertung!$E$6</f>
        <v>Bremen</v>
      </c>
      <c r="E10" s="82">
        <f>IF(('[1]15. Spieltag'!D10=""),"",('[1]15. Spieltag'!D10))</f>
        <v>2</v>
      </c>
      <c r="F10" s="83">
        <f>IF(('[1]15. Spieltag'!E10=""),"",('[1]15.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IF(('[1]15. Spieltag'!H10=""),"",('[1]15. Spieltag'!H10))</f>
        <v>2</v>
      </c>
      <c r="J10" s="83">
        <f>IF(('[1]15. Spieltag'!I10=""),"",('[1]15.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IF(('[1]15. Spieltag'!L10=""),"",('[1]15. Spieltag'!L10))</f>
        <v>2</v>
      </c>
      <c r="N10" s="83">
        <f>IF(('[1]15. Spieltag'!M10=""),"",('[1]15.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IF(('[1]15. Spieltag'!P10=""),"",('[1]15. Spieltag'!P10))</f>
        <v>2</v>
      </c>
      <c r="R10" s="83">
        <f>IF(('[1]15. Spieltag'!Q10=""),"",('[1]15.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IF(('[1]15. Spieltag'!T10=""),"",('[1]15. Spieltag'!T10))</f>
        <v>2</v>
      </c>
      <c r="V10" s="83">
        <f>IF(('[1]15. Spieltag'!U10=""),"",('[1]15.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Bochum</v>
      </c>
      <c r="C11" s="87" t="str">
        <f>Auswertung!$E$7</f>
        <v>Union Berlin</v>
      </c>
      <c r="E11" s="82">
        <f>IF(('[1]15. Spieltag'!D11=""),"",('[1]15. Spieltag'!D11))</f>
        <v>1</v>
      </c>
      <c r="F11" s="83">
        <f>IF(('[1]15. Spieltag'!E11=""),"",('[1]15.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IF(('[1]15. Spieltag'!H11=""),"",('[1]15. Spieltag'!H11))</f>
        <v>0</v>
      </c>
      <c r="J11" s="83">
        <f>IF(('[1]15. Spieltag'!I11=""),"",('[1]15. Spieltag'!I11))</f>
        <v>2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IF(('[1]15. Spieltag'!L11=""),"",('[1]15. Spieltag'!L11))</f>
        <v>1</v>
      </c>
      <c r="N11" s="83">
        <f>IF(('[1]15. Spieltag'!M11=""),"",('[1]15. Spieltag'!M11))</f>
        <v>2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IF(('[1]15. Spieltag'!P11=""),"",('[1]15. Spieltag'!P11))</f>
        <v>1</v>
      </c>
      <c r="R11" s="83">
        <f>IF(('[1]15. Spieltag'!Q11=""),"",('[1]15.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IF(('[1]15. Spieltag'!T11=""),"",('[1]15. Spieltag'!T11))</f>
        <v>2</v>
      </c>
      <c r="V11" s="83">
        <f>IF(('[1]15. Spieltag'!U11=""),"",('[1]15.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Augsburg</v>
      </c>
      <c r="C12" s="87" t="str">
        <f>Auswertung!$E$8</f>
        <v>Dortmund</v>
      </c>
      <c r="E12" s="82">
        <f>IF(('[1]15. Spieltag'!D12=""),"",('[1]15. Spieltag'!D12))</f>
        <v>1</v>
      </c>
      <c r="F12" s="83">
        <f>IF(('[1]15. Spieltag'!E12=""),"",('[1]15. Spieltag'!E12))</f>
        <v>3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IF(('[1]15. Spieltag'!H12=""),"",('[1]15. Spieltag'!H12))</f>
        <v>1</v>
      </c>
      <c r="J12" s="83">
        <f>IF(('[1]15. Spieltag'!I12=""),"",('[1]15.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IF(('[1]15. Spieltag'!L12=""),"",('[1]15. Spieltag'!L12))</f>
        <v>1</v>
      </c>
      <c r="N12" s="83">
        <f>IF(('[1]15. Spieltag'!M12=""),"",('[1]15. Spieltag'!M12))</f>
        <v>3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IF(('[1]15. Spieltag'!P12=""),"",('[1]15. Spieltag'!P12))</f>
        <v>1</v>
      </c>
      <c r="R12" s="83">
        <f>IF(('[1]15. Spieltag'!Q12=""),"",('[1]15. Spieltag'!Q12))</f>
        <v>3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IF(('[1]15. Spieltag'!T12=""),"",('[1]15. Spieltag'!T12))</f>
        <v>1</v>
      </c>
      <c r="V12" s="83">
        <f>IF(('[1]15. Spieltag'!U12=""),"",('[1]15. Spieltag'!U12))</f>
        <v>3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Wolfsburg</v>
      </c>
      <c r="E13" s="82">
        <f>IF(('[1]15. Spieltag'!D13=""),"",('[1]15. Spieltag'!D13))</f>
        <v>0</v>
      </c>
      <c r="F13" s="83">
        <f>IF(('[1]15. Spieltag'!E13=""),"",('[1]15.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IF(('[1]15. Spieltag'!H13=""),"",('[1]15. Spieltag'!H13))</f>
        <v>0</v>
      </c>
      <c r="J13" s="83">
        <f>IF(('[1]15. Spieltag'!I13=""),"",('[1]15.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60</v>
      </c>
      <c r="M13" s="82">
        <f>IF(('[1]15. Spieltag'!L13=""),"",('[1]15. Spieltag'!L13))</f>
        <v>0</v>
      </c>
      <c r="N13" s="83">
        <f>IF(('[1]15. Spieltag'!M13=""),"",('[1]15.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IF(('[1]15. Spieltag'!P13=""),"",('[1]15. Spieltag'!P13))</f>
        <v>0</v>
      </c>
      <c r="R13" s="83">
        <f>IF(('[1]15. Spieltag'!Q13=""),"",('[1]15.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IF(('[1]15. Spieltag'!T13=""),"",('[1]15. Spieltag'!T13))</f>
        <v>1</v>
      </c>
      <c r="V13" s="83">
        <f>IF(('[1]15. Spieltag'!U13=""),"",('[1]15.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40</v>
      </c>
    </row>
    <row r="14" spans="1:30" ht="11.25" customHeight="1" thickBot="1" x14ac:dyDescent="0.25">
      <c r="G14" s="47">
        <f>SUM(G5:G13)</f>
        <v>120</v>
      </c>
      <c r="K14" s="47">
        <f>SUM(K5:K13)</f>
        <v>180</v>
      </c>
      <c r="O14" s="47">
        <f>SUM(O5:O13)</f>
        <v>160</v>
      </c>
      <c r="S14" s="47">
        <f>SUM(S5:S13)</f>
        <v>120</v>
      </c>
      <c r="W14" s="47">
        <f>SUM(W5:W13)</f>
        <v>200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Stuttgart</v>
      </c>
      <c r="E20" s="82">
        <f>IF(('[1]15. Spieltag'!D20=""),"",('[1]15. Spieltag'!D20))</f>
        <v>3</v>
      </c>
      <c r="F20" s="83">
        <f>IF(('[1]15. Spieltag'!E20=""),"",('[1]15. Spieltag'!E20))</f>
        <v>1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IF(('[1]15. Spieltag'!H20=""),"",('[1]15. Spieltag'!H20))</f>
        <v>3</v>
      </c>
      <c r="J20" s="83">
        <f>IF(('[1]15. Spieltag'!I20=""),"",('[1]15. Spieltag'!I20))</f>
        <v>0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60</v>
      </c>
      <c r="M20" s="82">
        <f>IF(('[1]15. Spieltag'!L20=""),"",('[1]15. Spieltag'!L20))</f>
        <v>3</v>
      </c>
      <c r="N20" s="83">
        <f>IF(('[1]15. Spieltag'!M20=""),"",('[1]15. Spieltag'!M20))</f>
        <v>0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60</v>
      </c>
      <c r="Q20" s="82">
        <f>IF(('[1]15. Spieltag'!P20=""),"",('[1]15. Spieltag'!P20))</f>
        <v>2</v>
      </c>
      <c r="R20" s="83">
        <f>IF(('[1]15. Spieltag'!Q20=""),"",('[1]15.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Leipzig</v>
      </c>
      <c r="C21" s="87" t="str">
        <f>Auswertung!$E$2</f>
        <v>Hoffenheim</v>
      </c>
      <c r="E21" s="82">
        <f>IF(('[1]15. Spieltag'!D21=""),"",('[1]15. Spieltag'!D21))</f>
        <v>3</v>
      </c>
      <c r="F21" s="83">
        <f>IF(('[1]15. Spieltag'!E21=""),"",('[1]15.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60</v>
      </c>
      <c r="I21" s="82">
        <f>IF(('[1]15. Spieltag'!H21=""),"",('[1]15. Spieltag'!H21))</f>
        <v>2</v>
      </c>
      <c r="J21" s="83">
        <f>IF(('[1]15. Spieltag'!I21=""),"",('[1]15.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IF(('[1]15. Spieltag'!L21=""),"",('[1]15. Spieltag'!L21))</f>
        <v>2</v>
      </c>
      <c r="N21" s="83">
        <f>IF(('[1]15. Spieltag'!M21=""),"",('[1]15.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IF(('[1]15. Spieltag'!P21=""),"",('[1]15. Spieltag'!P21))</f>
        <v>2</v>
      </c>
      <c r="R21" s="83">
        <f>IF(('[1]15. Spieltag'!Q21=""),"",('[1]15. Spieltag'!Q21))</f>
        <v>0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40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Freiburg</v>
      </c>
      <c r="C22" s="87" t="str">
        <f>Auswertung!$E$3</f>
        <v>Köln</v>
      </c>
      <c r="E22" s="82">
        <f>IF(('[1]15. Spieltag'!D22=""),"",('[1]15. Spieltag'!D22))</f>
        <v>3</v>
      </c>
      <c r="F22" s="83">
        <f>IF(('[1]15. Spieltag'!E22=""),"",('[1]15.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40</v>
      </c>
      <c r="I22" s="82">
        <f>IF(('[1]15. Spieltag'!H22=""),"",('[1]15. Spieltag'!H22))</f>
        <v>2</v>
      </c>
      <c r="J22" s="83">
        <f>IF(('[1]15. Spieltag'!I22=""),"",('[1]15. Spieltag'!I22))</f>
        <v>0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60</v>
      </c>
      <c r="M22" s="82">
        <f>IF(('[1]15. Spieltag'!L22=""),"",('[1]15. Spieltag'!L22))</f>
        <v>2</v>
      </c>
      <c r="N22" s="83">
        <f>IF(('[1]15. Spieltag'!M22=""),"",('[1]15. Spieltag'!M22))</f>
        <v>0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60</v>
      </c>
      <c r="Q22" s="82">
        <f>IF(('[1]15. Spieltag'!P22=""),"",('[1]15. Spieltag'!P22))</f>
        <v>3</v>
      </c>
      <c r="R22" s="83">
        <f>IF(('[1]15. Spieltag'!Q22=""),"",('[1]15.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40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Leverkusen</v>
      </c>
      <c r="C23" s="87" t="str">
        <f>Auswertung!$E$4</f>
        <v>Frankfurt</v>
      </c>
      <c r="E23" s="82">
        <f>IF(('[1]15. Spieltag'!D23=""),"",('[1]15. Spieltag'!D23))</f>
        <v>3</v>
      </c>
      <c r="F23" s="83">
        <f>IF(('[1]15. Spieltag'!E23=""),"",('[1]15. Spieltag'!E23))</f>
        <v>2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20</v>
      </c>
      <c r="I23" s="82">
        <f>IF(('[1]15. Spieltag'!H23=""),"",('[1]15. Spieltag'!H23))</f>
        <v>2</v>
      </c>
      <c r="J23" s="83">
        <f>IF(('[1]15. Spieltag'!I23=""),"",('[1]15.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20</v>
      </c>
      <c r="M23" s="82">
        <f>IF(('[1]15. Spieltag'!L23=""),"",('[1]15. Spieltag'!L23))</f>
        <v>2</v>
      </c>
      <c r="N23" s="83">
        <f>IF(('[1]15. Spieltag'!M23=""),"",('[1]15.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20</v>
      </c>
      <c r="Q23" s="82">
        <f>IF(('[1]15. Spieltag'!P23=""),"",('[1]15. Spieltag'!P23))</f>
        <v>2</v>
      </c>
      <c r="R23" s="83">
        <f>IF(('[1]15. Spieltag'!Q23=""),"",('[1]15.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Mainz</v>
      </c>
      <c r="C24" s="87" t="str">
        <f>Auswertung!$E$5</f>
        <v>Heidenheim</v>
      </c>
      <c r="E24" s="82">
        <f>IF(('[1]15. Spieltag'!D24=""),"",('[1]15. Spieltag'!D24))</f>
        <v>2</v>
      </c>
      <c r="F24" s="83">
        <f>IF(('[1]15. Spieltag'!E24=""),"",('[1]15.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IF(('[1]15. Spieltag'!H24=""),"",('[1]15. Spieltag'!H24))</f>
        <v>2</v>
      </c>
      <c r="J24" s="83">
        <f>IF(('[1]15. Spieltag'!I24=""),"",('[1]15.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IF(('[1]15. Spieltag'!L24=""),"",('[1]15. Spieltag'!L24))</f>
        <v>2</v>
      </c>
      <c r="N24" s="83">
        <f>IF(('[1]15. Spieltag'!M24=""),"",('[1]15.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IF(('[1]15. Spieltag'!P24=""),"",('[1]15. Spieltag'!P24))</f>
        <v>1</v>
      </c>
      <c r="R24" s="83">
        <f>IF(('[1]15. Spieltag'!Q24=""),"",('[1]15.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M'gladbach</v>
      </c>
      <c r="C25" s="87" t="str">
        <f>Auswertung!$E$6</f>
        <v>Bremen</v>
      </c>
      <c r="E25" s="82">
        <f>IF(('[1]15. Spieltag'!D25=""),"",('[1]15. Spieltag'!D25))</f>
        <v>2</v>
      </c>
      <c r="F25" s="83">
        <f>IF(('[1]15. Spieltag'!E25=""),"",('[1]15.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IF(('[1]15. Spieltag'!H25=""),"",('[1]15. Spieltag'!H25))</f>
        <v>3</v>
      </c>
      <c r="J25" s="83">
        <f>IF(('[1]15. Spieltag'!I25=""),"",('[1]15.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IF(('[1]15. Spieltag'!L25=""),"",('[1]15. Spieltag'!L25))</f>
        <v>3</v>
      </c>
      <c r="N25" s="83">
        <f>IF(('[1]15. Spieltag'!M25=""),"",('[1]15.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IF(('[1]15. Spieltag'!P25=""),"",('[1]15. Spieltag'!P25))</f>
        <v>2</v>
      </c>
      <c r="R25" s="83">
        <f>IF(('[1]15. Spieltag'!Q25=""),"",('[1]15.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Bochum</v>
      </c>
      <c r="C26" s="87" t="str">
        <f>Auswertung!$E$7</f>
        <v>Union Berlin</v>
      </c>
      <c r="E26" s="82">
        <f>IF(('[1]15. Spieltag'!D26=""),"",('[1]15. Spieltag'!D26))</f>
        <v>2</v>
      </c>
      <c r="F26" s="83">
        <f>IF(('[1]15. Spieltag'!E26=""),"",('[1]15.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IF(('[1]15. Spieltag'!H26=""),"",('[1]15. Spieltag'!H26))</f>
        <v>1</v>
      </c>
      <c r="J26" s="83">
        <f>IF(('[1]15. Spieltag'!I26=""),"",('[1]15. Spieltag'!I26))</f>
        <v>2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IF(('[1]15. Spieltag'!L26=""),"",('[1]15. Spieltag'!L26))</f>
        <v>1</v>
      </c>
      <c r="N26" s="83">
        <f>IF(('[1]15. Spieltag'!M26=""),"",('[1]15. Spieltag'!M26))</f>
        <v>2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IF(('[1]15. Spieltag'!P26=""),"",('[1]15. Spieltag'!P26))</f>
        <v>0</v>
      </c>
      <c r="R26" s="83">
        <f>IF(('[1]15. Spieltag'!Q26=""),"",('[1]15. Spieltag'!Q26))</f>
        <v>2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Augsburg</v>
      </c>
      <c r="C27" s="87" t="str">
        <f>Auswertung!$E$8</f>
        <v>Dortmund</v>
      </c>
      <c r="E27" s="82">
        <f>IF(('[1]15. Spieltag'!D27=""),"",('[1]15. Spieltag'!D27))</f>
        <v>1</v>
      </c>
      <c r="F27" s="83">
        <f>IF(('[1]15. Spieltag'!E27=""),"",('[1]15. Spieltag'!E27))</f>
        <v>3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IF(('[1]15. Spieltag'!H27=""),"",('[1]15. Spieltag'!H27))</f>
        <v>0</v>
      </c>
      <c r="J27" s="83">
        <f>IF(('[1]15. Spieltag'!I27=""),"",('[1]15.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IF(('[1]15. Spieltag'!L27=""),"",('[1]15. Spieltag'!L27))</f>
        <v>0</v>
      </c>
      <c r="N27" s="83">
        <f>IF(('[1]15. Spieltag'!M27=""),"",('[1]15. Spieltag'!M27))</f>
        <v>2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IF(('[1]15. Spieltag'!P27=""),"",('[1]15. Spieltag'!P27))</f>
        <v>1</v>
      </c>
      <c r="R27" s="83">
        <f>IF(('[1]15. Spieltag'!Q27=""),"",('[1]15. Spieltag'!Q27))</f>
        <v>2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Wolfsburg</v>
      </c>
      <c r="E28" s="82">
        <f>IF(('[1]15. Spieltag'!D28=""),"",('[1]15. Spieltag'!D28))</f>
        <v>1</v>
      </c>
      <c r="F28" s="83">
        <f>IF(('[1]15. Spieltag'!E28=""),"",('[1]15.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40</v>
      </c>
      <c r="I28" s="82">
        <f>IF(('[1]15. Spieltag'!H28=""),"",('[1]15. Spieltag'!H28))</f>
        <v>0</v>
      </c>
      <c r="J28" s="83">
        <f>IF(('[1]15. Spieltag'!I28=""),"",('[1]15.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20</v>
      </c>
      <c r="M28" s="82">
        <f>IF(('[1]15. Spieltag'!L28=""),"",('[1]15. Spieltag'!L28))</f>
        <v>0</v>
      </c>
      <c r="N28" s="83">
        <f>IF(('[1]15. Spieltag'!M28=""),"",('[1]15.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60</v>
      </c>
      <c r="Q28" s="82">
        <f>IF(('[1]15. Spieltag'!P28=""),"",('[1]15. Spieltag'!P28))</f>
        <v>0</v>
      </c>
      <c r="R28" s="83">
        <f>IF(('[1]15. Spieltag'!Q28=""),"",('[1]15.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60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200</v>
      </c>
      <c r="K29" s="47">
        <f>SUM(K20:K28)</f>
        <v>180</v>
      </c>
      <c r="O29" s="47">
        <f>SUM(O20:O28)</f>
        <v>220</v>
      </c>
      <c r="S29" s="47">
        <f>SUM(S20:S28)</f>
        <v>180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120</v>
      </c>
      <c r="C4" s="101">
        <f>Mannschaftstipps!$E$16</f>
        <v>560</v>
      </c>
      <c r="D4" s="101">
        <f>C4+B4</f>
        <v>680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180</v>
      </c>
      <c r="C5" s="107">
        <f>Mannschaftstipps!$I$16</f>
        <v>510</v>
      </c>
      <c r="D5" s="107">
        <f>C5+B5</f>
        <v>690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160</v>
      </c>
      <c r="C6" s="110">
        <f>Mannschaftstipps!$M$16</f>
        <v>555</v>
      </c>
      <c r="D6" s="110">
        <f>C6+B6</f>
        <v>715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120</v>
      </c>
      <c r="C7" s="107">
        <f>Mannschaftstipps!$E$33</f>
        <v>605</v>
      </c>
      <c r="D7" s="107">
        <f t="shared" ref="D7:D12" si="1">C7+B7</f>
        <v>725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200</v>
      </c>
      <c r="C8" s="110">
        <f>Mannschaftstipps!$I$33</f>
        <v>415</v>
      </c>
      <c r="D8" s="110">
        <f t="shared" si="1"/>
        <v>615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200</v>
      </c>
      <c r="C9" s="107">
        <f>Mannschaftstipps!$M$33</f>
        <v>550</v>
      </c>
      <c r="D9" s="107">
        <f t="shared" si="1"/>
        <v>750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180</v>
      </c>
      <c r="C10" s="110">
        <f>Mannschaftstipps!$E$50</f>
        <v>520</v>
      </c>
      <c r="D10" s="110">
        <f t="shared" si="1"/>
        <v>700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220</v>
      </c>
      <c r="C11" s="107">
        <f>Mannschaftstipps!$I$50</f>
        <v>590</v>
      </c>
      <c r="D11" s="107">
        <f t="shared" si="1"/>
        <v>810</v>
      </c>
      <c r="E11" s="108">
        <f t="shared" si="0"/>
        <v>50</v>
      </c>
    </row>
    <row r="12" spans="1:5" x14ac:dyDescent="0.2">
      <c r="A12" s="109" t="s">
        <v>78</v>
      </c>
      <c r="B12" s="110">
        <f>Ergebnistipps!$S$29</f>
        <v>180</v>
      </c>
      <c r="C12" s="110">
        <f>Mannschaftstipps!$M$50</f>
        <v>505</v>
      </c>
      <c r="D12" s="110">
        <f t="shared" si="1"/>
        <v>685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810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2023-12-15T06:05:12Z</cp:lastPrinted>
  <dcterms:created xsi:type="dcterms:W3CDTF">1999-07-16T21:37:12Z</dcterms:created>
  <dcterms:modified xsi:type="dcterms:W3CDTF">2023-12-18T06:54:46Z</dcterms:modified>
</cp:coreProperties>
</file>