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146289EC-AA50-449F-A57D-B5CE10829066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Spieltag!$K$1:$AB$555</definedName>
    <definedName name="_xlnm.Print_Area" localSheetId="2">Auswertung!$B$1:$W$612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Spieltag!$B$1:$I$610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W423" i="6" l="1"/>
  <c r="V423" i="6"/>
  <c r="U423" i="6"/>
  <c r="S423" i="6"/>
  <c r="N423" i="6"/>
  <c r="L423" i="6"/>
  <c r="J423" i="6"/>
  <c r="H423" i="6"/>
  <c r="E423" i="6"/>
  <c r="D423" i="6"/>
  <c r="C423" i="6"/>
  <c r="B423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AB409" i="41"/>
  <c r="W239" i="6"/>
  <c r="V239" i="6"/>
  <c r="U239" i="6"/>
  <c r="S239" i="6"/>
  <c r="N239" i="6"/>
  <c r="L239" i="6"/>
  <c r="J239" i="6"/>
  <c r="H239" i="6"/>
  <c r="E239" i="6"/>
  <c r="D239" i="6"/>
  <c r="C239" i="6"/>
  <c r="B239" i="6"/>
  <c r="AB226" i="41"/>
  <c r="W198" i="6"/>
  <c r="V198" i="6"/>
  <c r="U198" i="6"/>
  <c r="S198" i="6"/>
  <c r="N198" i="6"/>
  <c r="L198" i="6"/>
  <c r="J198" i="6"/>
  <c r="H198" i="6"/>
  <c r="E198" i="6"/>
  <c r="D198" i="6"/>
  <c r="C198" i="6"/>
  <c r="B198" i="6"/>
  <c r="AB185" i="41"/>
  <c r="W107" i="6"/>
  <c r="V107" i="6"/>
  <c r="U107" i="6"/>
  <c r="S107" i="6"/>
  <c r="N107" i="6"/>
  <c r="L107" i="6"/>
  <c r="J107" i="6"/>
  <c r="H107" i="6"/>
  <c r="E107" i="6"/>
  <c r="D107" i="6"/>
  <c r="C107" i="6"/>
  <c r="B107" i="6"/>
  <c r="AB94" i="41"/>
  <c r="W31" i="6"/>
  <c r="V31" i="6"/>
  <c r="U31" i="6"/>
  <c r="S31" i="6"/>
  <c r="N31" i="6"/>
  <c r="L31" i="6"/>
  <c r="J31" i="6"/>
  <c r="H31" i="6"/>
  <c r="E31" i="6"/>
  <c r="D31" i="6"/>
  <c r="C31" i="6"/>
  <c r="B31" i="6"/>
  <c r="W28" i="6"/>
  <c r="V28" i="6"/>
  <c r="U28" i="6"/>
  <c r="S28" i="6"/>
  <c r="N28" i="6"/>
  <c r="L28" i="6"/>
  <c r="J28" i="6"/>
  <c r="H28" i="6"/>
  <c r="E28" i="6"/>
  <c r="D28" i="6"/>
  <c r="C28" i="6"/>
  <c r="B28" i="6"/>
  <c r="AB18" i="41"/>
  <c r="AB15" i="4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R28" i="2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W353" i="6"/>
  <c r="V353" i="6"/>
  <c r="U353" i="6"/>
  <c r="S353" i="6"/>
  <c r="N353" i="6"/>
  <c r="L353" i="6"/>
  <c r="J353" i="6"/>
  <c r="H353" i="6"/>
  <c r="E353" i="6"/>
  <c r="D353" i="6"/>
  <c r="C353" i="6"/>
  <c r="B353" i="6"/>
  <c r="AB340" i="41"/>
  <c r="W161" i="6"/>
  <c r="V161" i="6"/>
  <c r="U161" i="6"/>
  <c r="S161" i="6"/>
  <c r="N161" i="6"/>
  <c r="L161" i="6"/>
  <c r="J161" i="6"/>
  <c r="H161" i="6"/>
  <c r="E161" i="6"/>
  <c r="D161" i="6"/>
  <c r="C161" i="6"/>
  <c r="B161" i="6"/>
  <c r="AB148" i="41"/>
  <c r="W371" i="6"/>
  <c r="V371" i="6"/>
  <c r="U371" i="6"/>
  <c r="S371" i="6"/>
  <c r="N371" i="6"/>
  <c r="L371" i="6"/>
  <c r="J371" i="6"/>
  <c r="H371" i="6"/>
  <c r="E371" i="6"/>
  <c r="D371" i="6"/>
  <c r="C371" i="6"/>
  <c r="B371" i="6"/>
  <c r="AB358" i="41"/>
  <c r="W155" i="6"/>
  <c r="V155" i="6"/>
  <c r="U155" i="6"/>
  <c r="S155" i="6"/>
  <c r="N155" i="6"/>
  <c r="L155" i="6"/>
  <c r="J155" i="6"/>
  <c r="H155" i="6"/>
  <c r="E155" i="6"/>
  <c r="D155" i="6"/>
  <c r="C155" i="6"/>
  <c r="B155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V152" i="6"/>
  <c r="U152" i="6"/>
  <c r="S152" i="6"/>
  <c r="N152" i="6"/>
  <c r="L152" i="6"/>
  <c r="J152" i="6"/>
  <c r="H152" i="6"/>
  <c r="E152" i="6"/>
  <c r="D152" i="6"/>
  <c r="C152" i="6"/>
  <c r="B152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AB125" i="41"/>
  <c r="AB126" i="41"/>
  <c r="W330" i="6"/>
  <c r="V330" i="6"/>
  <c r="U330" i="6"/>
  <c r="S330" i="6"/>
  <c r="N330" i="6"/>
  <c r="L330" i="6"/>
  <c r="J330" i="6"/>
  <c r="H330" i="6"/>
  <c r="E330" i="6"/>
  <c r="D330" i="6"/>
  <c r="C330" i="6"/>
  <c r="B330" i="6"/>
  <c r="AB317" i="41"/>
  <c r="AB142" i="41"/>
  <c r="W403" i="6"/>
  <c r="V403" i="6"/>
  <c r="U403" i="6"/>
  <c r="S403" i="6"/>
  <c r="N403" i="6"/>
  <c r="L403" i="6"/>
  <c r="J403" i="6"/>
  <c r="H403" i="6"/>
  <c r="E403" i="6"/>
  <c r="D403" i="6"/>
  <c r="C403" i="6"/>
  <c r="B403" i="6"/>
  <c r="AB390" i="41"/>
  <c r="W467" i="6"/>
  <c r="V467" i="6"/>
  <c r="U467" i="6"/>
  <c r="S467" i="6"/>
  <c r="N467" i="6"/>
  <c r="L467" i="6"/>
  <c r="J467" i="6"/>
  <c r="H467" i="6"/>
  <c r="E467" i="6"/>
  <c r="D467" i="6"/>
  <c r="C467" i="6"/>
  <c r="B467" i="6"/>
  <c r="AB454" i="41"/>
  <c r="W558" i="6"/>
  <c r="V558" i="6"/>
  <c r="U558" i="6"/>
  <c r="S558" i="6"/>
  <c r="N558" i="6"/>
  <c r="L558" i="6"/>
  <c r="J558" i="6"/>
  <c r="H558" i="6"/>
  <c r="E558" i="6"/>
  <c r="D558" i="6"/>
  <c r="C558" i="6"/>
  <c r="B558" i="6"/>
  <c r="W565" i="6"/>
  <c r="V565" i="6"/>
  <c r="U565" i="6"/>
  <c r="S565" i="6"/>
  <c r="N565" i="6"/>
  <c r="L565" i="6"/>
  <c r="J565" i="6"/>
  <c r="H565" i="6"/>
  <c r="E565" i="6"/>
  <c r="D565" i="6"/>
  <c r="C565" i="6"/>
  <c r="B565" i="6"/>
  <c r="AB552" i="41"/>
  <c r="AB545" i="41"/>
  <c r="W502" i="6"/>
  <c r="V502" i="6"/>
  <c r="U502" i="6"/>
  <c r="S502" i="6"/>
  <c r="N502" i="6"/>
  <c r="L502" i="6"/>
  <c r="J502" i="6"/>
  <c r="H502" i="6"/>
  <c r="E502" i="6"/>
  <c r="D502" i="6"/>
  <c r="C502" i="6"/>
  <c r="B502" i="6"/>
  <c r="AB489" i="41"/>
  <c r="W489" i="6"/>
  <c r="V489" i="6"/>
  <c r="U489" i="6"/>
  <c r="S489" i="6"/>
  <c r="N489" i="6"/>
  <c r="L489" i="6"/>
  <c r="J489" i="6"/>
  <c r="H489" i="6"/>
  <c r="E489" i="6"/>
  <c r="D489" i="6"/>
  <c r="C489" i="6"/>
  <c r="B489" i="6"/>
  <c r="AB476" i="41"/>
  <c r="W362" i="6"/>
  <c r="V362" i="6"/>
  <c r="U362" i="6"/>
  <c r="S362" i="6"/>
  <c r="N362" i="6"/>
  <c r="L362" i="6"/>
  <c r="J362" i="6"/>
  <c r="H362" i="6"/>
  <c r="E362" i="6"/>
  <c r="D362" i="6"/>
  <c r="C362" i="6"/>
  <c r="B362" i="6"/>
  <c r="AB349" i="41"/>
  <c r="W203" i="6"/>
  <c r="V203" i="6"/>
  <c r="U203" i="6"/>
  <c r="S203" i="6"/>
  <c r="N203" i="6"/>
  <c r="L203" i="6"/>
  <c r="J203" i="6"/>
  <c r="H203" i="6"/>
  <c r="E203" i="6"/>
  <c r="D203" i="6"/>
  <c r="C203" i="6"/>
  <c r="B203" i="6"/>
  <c r="AB190" i="41"/>
  <c r="AB106" i="41"/>
  <c r="AB107" i="41"/>
  <c r="AB108" i="41"/>
  <c r="AB109" i="41"/>
  <c r="AB110" i="41"/>
  <c r="W111" i="6"/>
  <c r="V111" i="6"/>
  <c r="U111" i="6"/>
  <c r="S111" i="6"/>
  <c r="N111" i="6"/>
  <c r="L111" i="6"/>
  <c r="J111" i="6"/>
  <c r="H111" i="6"/>
  <c r="E111" i="6"/>
  <c r="D111" i="6"/>
  <c r="C111" i="6"/>
  <c r="B111" i="6"/>
  <c r="AB98" i="41"/>
  <c r="W70" i="6"/>
  <c r="V70" i="6"/>
  <c r="U70" i="6"/>
  <c r="S70" i="6"/>
  <c r="N70" i="6"/>
  <c r="L70" i="6"/>
  <c r="J70" i="6"/>
  <c r="H70" i="6"/>
  <c r="E70" i="6"/>
  <c r="D70" i="6"/>
  <c r="C70" i="6"/>
  <c r="B70" i="6"/>
  <c r="AB57" i="41"/>
  <c r="W59" i="6"/>
  <c r="V59" i="6"/>
  <c r="U59" i="6"/>
  <c r="S59" i="6"/>
  <c r="N59" i="6"/>
  <c r="L59" i="6"/>
  <c r="J59" i="6"/>
  <c r="H59" i="6"/>
  <c r="E59" i="6"/>
  <c r="D59" i="6"/>
  <c r="C59" i="6"/>
  <c r="B59" i="6"/>
  <c r="AB46" i="41"/>
  <c r="W24" i="6"/>
  <c r="V24" i="6"/>
  <c r="U24" i="6"/>
  <c r="S24" i="6"/>
  <c r="N24" i="6"/>
  <c r="L24" i="6"/>
  <c r="J24" i="6"/>
  <c r="H24" i="6"/>
  <c r="E24" i="6"/>
  <c r="D24" i="6"/>
  <c r="C24" i="6"/>
  <c r="B24" i="6"/>
  <c r="AB11" i="41"/>
  <c r="L37" i="8"/>
  <c r="H37" i="8"/>
  <c r="D37" i="8"/>
  <c r="D20" i="8"/>
  <c r="L3" i="8"/>
  <c r="H3" i="8"/>
  <c r="D3" i="8"/>
  <c r="V237" i="6"/>
  <c r="U237" i="6"/>
  <c r="S237" i="6"/>
  <c r="N237" i="6"/>
  <c r="L237" i="6"/>
  <c r="J237" i="6"/>
  <c r="H237" i="6"/>
  <c r="E237" i="6"/>
  <c r="D237" i="6"/>
  <c r="C237" i="6"/>
  <c r="B237" i="6"/>
  <c r="AB224" i="41"/>
  <c r="W228" i="6"/>
  <c r="V228" i="6"/>
  <c r="U228" i="6"/>
  <c r="S228" i="6"/>
  <c r="N228" i="6"/>
  <c r="L228" i="6"/>
  <c r="J228" i="6"/>
  <c r="H228" i="6"/>
  <c r="E228" i="6"/>
  <c r="D228" i="6"/>
  <c r="C228" i="6"/>
  <c r="B228" i="6"/>
  <c r="AB215" i="41"/>
  <c r="W501" i="6"/>
  <c r="V501" i="6"/>
  <c r="U501" i="6"/>
  <c r="S501" i="6"/>
  <c r="N501" i="6"/>
  <c r="L501" i="6"/>
  <c r="J501" i="6"/>
  <c r="H501" i="6"/>
  <c r="E501" i="6"/>
  <c r="D501" i="6"/>
  <c r="C501" i="6"/>
  <c r="B501" i="6"/>
  <c r="AB488" i="41"/>
  <c r="W406" i="6"/>
  <c r="V406" i="6"/>
  <c r="U406" i="6"/>
  <c r="S406" i="6"/>
  <c r="N406" i="6"/>
  <c r="L406" i="6"/>
  <c r="J406" i="6"/>
  <c r="H406" i="6"/>
  <c r="E406" i="6"/>
  <c r="D406" i="6"/>
  <c r="C406" i="6"/>
  <c r="B40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AB393" i="41"/>
  <c r="AB382" i="41"/>
  <c r="W299" i="6"/>
  <c r="V299" i="6"/>
  <c r="U299" i="6"/>
  <c r="S299" i="6"/>
  <c r="N299" i="6"/>
  <c r="L299" i="6"/>
  <c r="J299" i="6"/>
  <c r="H299" i="6"/>
  <c r="E299" i="6"/>
  <c r="D299" i="6"/>
  <c r="C299" i="6"/>
  <c r="B299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265" i="6"/>
  <c r="V265" i="6"/>
  <c r="U265" i="6"/>
  <c r="S265" i="6"/>
  <c r="N265" i="6"/>
  <c r="L265" i="6"/>
  <c r="J265" i="6"/>
  <c r="H265" i="6"/>
  <c r="E265" i="6"/>
  <c r="D265" i="6"/>
  <c r="C265" i="6"/>
  <c r="B265" i="6"/>
  <c r="W208" i="6"/>
  <c r="V208" i="6"/>
  <c r="U208" i="6"/>
  <c r="S208" i="6"/>
  <c r="N208" i="6"/>
  <c r="L208" i="6"/>
  <c r="J208" i="6"/>
  <c r="H208" i="6"/>
  <c r="E208" i="6"/>
  <c r="D208" i="6"/>
  <c r="C208" i="6"/>
  <c r="B208" i="6"/>
  <c r="AB286" i="41"/>
  <c r="AB271" i="41"/>
  <c r="AB252" i="41"/>
  <c r="AB195" i="41"/>
  <c r="W167" i="6"/>
  <c r="V167" i="6"/>
  <c r="U167" i="6"/>
  <c r="S167" i="6"/>
  <c r="N167" i="6"/>
  <c r="L167" i="6"/>
  <c r="J167" i="6"/>
  <c r="H167" i="6"/>
  <c r="E167" i="6"/>
  <c r="D167" i="6"/>
  <c r="C167" i="6"/>
  <c r="B167" i="6"/>
  <c r="W143" i="6"/>
  <c r="V143" i="6"/>
  <c r="U143" i="6"/>
  <c r="S143" i="6"/>
  <c r="N143" i="6"/>
  <c r="L143" i="6"/>
  <c r="J143" i="6"/>
  <c r="H143" i="6"/>
  <c r="E143" i="6"/>
  <c r="D143" i="6"/>
  <c r="C143" i="6"/>
  <c r="B143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AB154" i="41"/>
  <c r="AB130" i="41"/>
  <c r="AB131" i="41"/>
  <c r="AB113" i="41"/>
  <c r="W97" i="6"/>
  <c r="V97" i="6"/>
  <c r="U97" i="6"/>
  <c r="S97" i="6"/>
  <c r="N97" i="6"/>
  <c r="L97" i="6"/>
  <c r="J97" i="6"/>
  <c r="H97" i="6"/>
  <c r="E97" i="6"/>
  <c r="D97" i="6"/>
  <c r="C97" i="6"/>
  <c r="B97" i="6"/>
  <c r="AB84" i="41"/>
  <c r="W84" i="6"/>
  <c r="V84" i="6"/>
  <c r="U84" i="6"/>
  <c r="S84" i="6"/>
  <c r="N84" i="6"/>
  <c r="L84" i="6"/>
  <c r="J84" i="6"/>
  <c r="H84" i="6"/>
  <c r="E84" i="6"/>
  <c r="D84" i="6"/>
  <c r="C84" i="6"/>
  <c r="B84" i="6"/>
  <c r="W65" i="6"/>
  <c r="V65" i="6"/>
  <c r="U65" i="6"/>
  <c r="S65" i="6"/>
  <c r="N65" i="6"/>
  <c r="L65" i="6"/>
  <c r="J65" i="6"/>
  <c r="H65" i="6"/>
  <c r="E65" i="6"/>
  <c r="D65" i="6"/>
  <c r="C65" i="6"/>
  <c r="B65" i="6"/>
  <c r="W63" i="6"/>
  <c r="V63" i="6"/>
  <c r="U63" i="6"/>
  <c r="S63" i="6"/>
  <c r="N63" i="6"/>
  <c r="L63" i="6"/>
  <c r="J63" i="6"/>
  <c r="H63" i="6"/>
  <c r="E63" i="6"/>
  <c r="D63" i="6"/>
  <c r="C63" i="6"/>
  <c r="B63" i="6"/>
  <c r="AB71" i="41"/>
  <c r="AB52" i="41"/>
  <c r="AB50" i="41"/>
  <c r="W40" i="6"/>
  <c r="V40" i="6"/>
  <c r="U40" i="6"/>
  <c r="S40" i="6"/>
  <c r="N40" i="6"/>
  <c r="L40" i="6"/>
  <c r="J40" i="6"/>
  <c r="H40" i="6"/>
  <c r="E40" i="6"/>
  <c r="D40" i="6"/>
  <c r="C40" i="6"/>
  <c r="B40" i="6"/>
  <c r="W38" i="6"/>
  <c r="V38" i="6"/>
  <c r="U38" i="6"/>
  <c r="S38" i="6"/>
  <c r="N38" i="6"/>
  <c r="L38" i="6"/>
  <c r="J38" i="6"/>
  <c r="H38" i="6"/>
  <c r="E38" i="6"/>
  <c r="D38" i="6"/>
  <c r="C38" i="6"/>
  <c r="B38" i="6"/>
  <c r="W37" i="6"/>
  <c r="V37" i="6"/>
  <c r="U37" i="6"/>
  <c r="S37" i="6"/>
  <c r="N37" i="6"/>
  <c r="L37" i="6"/>
  <c r="J37" i="6"/>
  <c r="H37" i="6"/>
  <c r="E37" i="6"/>
  <c r="D37" i="6"/>
  <c r="C37" i="6"/>
  <c r="B37" i="6"/>
  <c r="W36" i="6"/>
  <c r="V36" i="6"/>
  <c r="U36" i="6"/>
  <c r="S36" i="6"/>
  <c r="N36" i="6"/>
  <c r="L36" i="6"/>
  <c r="J36" i="6"/>
  <c r="H36" i="6"/>
  <c r="E36" i="6"/>
  <c r="D36" i="6"/>
  <c r="C36" i="6"/>
  <c r="B36" i="6"/>
  <c r="AB27" i="41"/>
  <c r="AB24" i="41"/>
  <c r="AB23" i="41"/>
  <c r="AB25" i="41"/>
  <c r="W19" i="6"/>
  <c r="V19" i="6"/>
  <c r="U19" i="6"/>
  <c r="S19" i="6"/>
  <c r="N19" i="6"/>
  <c r="L19" i="6"/>
  <c r="J19" i="6"/>
  <c r="H19" i="6"/>
  <c r="E19" i="6"/>
  <c r="D19" i="6"/>
  <c r="C19" i="6"/>
  <c r="B19" i="6"/>
  <c r="AB6" i="41"/>
  <c r="W165" i="6" l="1"/>
  <c r="V165" i="6"/>
  <c r="U165" i="6"/>
  <c r="S165" i="6"/>
  <c r="N165" i="6"/>
  <c r="L165" i="6"/>
  <c r="J165" i="6"/>
  <c r="H165" i="6"/>
  <c r="E165" i="6"/>
  <c r="D165" i="6"/>
  <c r="C165" i="6"/>
  <c r="B165" i="6"/>
  <c r="AB152" i="41"/>
  <c r="W361" i="6"/>
  <c r="V361" i="6"/>
  <c r="U361" i="6"/>
  <c r="S361" i="6"/>
  <c r="N361" i="6"/>
  <c r="L361" i="6"/>
  <c r="J361" i="6"/>
  <c r="H361" i="6"/>
  <c r="E361" i="6"/>
  <c r="D361" i="6"/>
  <c r="C361" i="6"/>
  <c r="B361" i="6"/>
  <c r="AB348" i="41"/>
  <c r="W500" i="6"/>
  <c r="V500" i="6"/>
  <c r="U500" i="6"/>
  <c r="S500" i="6"/>
  <c r="N500" i="6"/>
  <c r="L500" i="6"/>
  <c r="J500" i="6"/>
  <c r="H500" i="6"/>
  <c r="E500" i="6"/>
  <c r="D500" i="6"/>
  <c r="C500" i="6"/>
  <c r="B500" i="6"/>
  <c r="AB487" i="41"/>
  <c r="W297" i="6"/>
  <c r="V297" i="6"/>
  <c r="U297" i="6"/>
  <c r="S297" i="6"/>
  <c r="N297" i="6"/>
  <c r="L297" i="6"/>
  <c r="J297" i="6"/>
  <c r="H297" i="6"/>
  <c r="E297" i="6"/>
  <c r="D297" i="6"/>
  <c r="C297" i="6"/>
  <c r="B297" i="6"/>
  <c r="AB284" i="41"/>
  <c r="AB231" i="41"/>
  <c r="W568" i="6" l="1"/>
  <c r="V568" i="6"/>
  <c r="U568" i="6"/>
  <c r="S568" i="6"/>
  <c r="N568" i="6"/>
  <c r="L568" i="6"/>
  <c r="J568" i="6"/>
  <c r="H568" i="6"/>
  <c r="E568" i="6"/>
  <c r="D568" i="6"/>
  <c r="C568" i="6"/>
  <c r="B568" i="6"/>
  <c r="AB448" i="41"/>
  <c r="AB447" i="41"/>
  <c r="AB446" i="41"/>
  <c r="AB445" i="41"/>
  <c r="W418" i="6"/>
  <c r="V418" i="6"/>
  <c r="U418" i="6"/>
  <c r="S418" i="6"/>
  <c r="N418" i="6"/>
  <c r="L418" i="6"/>
  <c r="J418" i="6"/>
  <c r="H418" i="6"/>
  <c r="E418" i="6"/>
  <c r="D418" i="6"/>
  <c r="C418" i="6"/>
  <c r="B418" i="6"/>
  <c r="W417" i="6"/>
  <c r="V417" i="6"/>
  <c r="U417" i="6"/>
  <c r="S417" i="6"/>
  <c r="N417" i="6"/>
  <c r="L417" i="6"/>
  <c r="J417" i="6"/>
  <c r="H417" i="6"/>
  <c r="E417" i="6"/>
  <c r="D417" i="6"/>
  <c r="C417" i="6"/>
  <c r="B417" i="6"/>
  <c r="W416" i="6"/>
  <c r="V416" i="6"/>
  <c r="U416" i="6"/>
  <c r="S416" i="6"/>
  <c r="N416" i="6"/>
  <c r="L416" i="6"/>
  <c r="J416" i="6"/>
  <c r="H416" i="6"/>
  <c r="E416" i="6"/>
  <c r="D416" i="6"/>
  <c r="C416" i="6"/>
  <c r="B416" i="6"/>
  <c r="W397" i="6"/>
  <c r="V397" i="6"/>
  <c r="U397" i="6"/>
  <c r="S397" i="6"/>
  <c r="N397" i="6"/>
  <c r="L397" i="6"/>
  <c r="J397" i="6"/>
  <c r="H397" i="6"/>
  <c r="E397" i="6"/>
  <c r="D397" i="6"/>
  <c r="C397" i="6"/>
  <c r="B397" i="6"/>
  <c r="AB384" i="41"/>
  <c r="W382" i="6"/>
  <c r="V382" i="6"/>
  <c r="U382" i="6"/>
  <c r="S382" i="6"/>
  <c r="N382" i="6"/>
  <c r="L382" i="6"/>
  <c r="J382" i="6"/>
  <c r="H382" i="6"/>
  <c r="E382" i="6"/>
  <c r="D382" i="6"/>
  <c r="C382" i="6"/>
  <c r="B382" i="6"/>
  <c r="W378" i="6"/>
  <c r="V378" i="6"/>
  <c r="U378" i="6"/>
  <c r="S378" i="6"/>
  <c r="N378" i="6"/>
  <c r="L378" i="6"/>
  <c r="J378" i="6"/>
  <c r="H378" i="6"/>
  <c r="E378" i="6"/>
  <c r="D378" i="6"/>
  <c r="C378" i="6"/>
  <c r="B378" i="6"/>
  <c r="AB369" i="41"/>
  <c r="AB365" i="41"/>
  <c r="W267" i="6"/>
  <c r="V267" i="6"/>
  <c r="U267" i="6"/>
  <c r="S267" i="6"/>
  <c r="N267" i="6"/>
  <c r="L267" i="6"/>
  <c r="J267" i="6"/>
  <c r="H267" i="6"/>
  <c r="E267" i="6"/>
  <c r="D267" i="6"/>
  <c r="C267" i="6"/>
  <c r="B267" i="6"/>
  <c r="AB254" i="41"/>
  <c r="W232" i="6"/>
  <c r="V232" i="6"/>
  <c r="U232" i="6"/>
  <c r="S232" i="6"/>
  <c r="N232" i="6"/>
  <c r="L232" i="6"/>
  <c r="J232" i="6"/>
  <c r="H232" i="6"/>
  <c r="E232" i="6"/>
  <c r="D232" i="6"/>
  <c r="C232" i="6"/>
  <c r="B232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AB219" i="41"/>
  <c r="AB205" i="41"/>
  <c r="AB204" i="41"/>
  <c r="AB196" i="41"/>
  <c r="AB555" i="41"/>
  <c r="W123" i="6"/>
  <c r="V123" i="6"/>
  <c r="U123" i="6"/>
  <c r="S123" i="6"/>
  <c r="N123" i="6"/>
  <c r="L123" i="6"/>
  <c r="J123" i="6"/>
  <c r="H123" i="6"/>
  <c r="E123" i="6"/>
  <c r="D123" i="6"/>
  <c r="C123" i="6"/>
  <c r="B123" i="6"/>
  <c r="V79" i="6"/>
  <c r="U79" i="6"/>
  <c r="S79" i="6"/>
  <c r="N79" i="6"/>
  <c r="L79" i="6"/>
  <c r="J79" i="6"/>
  <c r="H79" i="6"/>
  <c r="E79" i="6"/>
  <c r="D79" i="6"/>
  <c r="C79" i="6"/>
  <c r="B79" i="6"/>
  <c r="AB66" i="41"/>
  <c r="W58" i="6"/>
  <c r="V58" i="6"/>
  <c r="U58" i="6"/>
  <c r="S58" i="6"/>
  <c r="N58" i="6"/>
  <c r="L58" i="6"/>
  <c r="J58" i="6"/>
  <c r="H58" i="6"/>
  <c r="E58" i="6"/>
  <c r="D58" i="6"/>
  <c r="C58" i="6"/>
  <c r="B58" i="6"/>
  <c r="AB45" i="41"/>
  <c r="W346" i="6"/>
  <c r="V346" i="6"/>
  <c r="U346" i="6"/>
  <c r="S346" i="6"/>
  <c r="N346" i="6"/>
  <c r="L346" i="6"/>
  <c r="J346" i="6"/>
  <c r="H346" i="6"/>
  <c r="E346" i="6"/>
  <c r="D346" i="6"/>
  <c r="C346" i="6"/>
  <c r="B346" i="6"/>
  <c r="AB333" i="41"/>
  <c r="W385" i="6"/>
  <c r="V385" i="6"/>
  <c r="U385" i="6"/>
  <c r="S385" i="6"/>
  <c r="N385" i="6"/>
  <c r="L385" i="6"/>
  <c r="J385" i="6"/>
  <c r="H385" i="6"/>
  <c r="E385" i="6"/>
  <c r="D385" i="6"/>
  <c r="C385" i="6"/>
  <c r="B385" i="6"/>
  <c r="AB372" i="41"/>
  <c r="W210" i="6"/>
  <c r="V210" i="6"/>
  <c r="U210" i="6"/>
  <c r="S210" i="6"/>
  <c r="N210" i="6"/>
  <c r="L210" i="6"/>
  <c r="J210" i="6"/>
  <c r="H210" i="6"/>
  <c r="E210" i="6"/>
  <c r="D210" i="6"/>
  <c r="C210" i="6"/>
  <c r="B210" i="6"/>
  <c r="AB197" i="41"/>
  <c r="W91" i="6"/>
  <c r="V91" i="6"/>
  <c r="U91" i="6"/>
  <c r="S91" i="6"/>
  <c r="N91" i="6"/>
  <c r="L91" i="6"/>
  <c r="J91" i="6"/>
  <c r="H91" i="6"/>
  <c r="E91" i="6"/>
  <c r="D91" i="6"/>
  <c r="C91" i="6"/>
  <c r="B91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AB78" i="41"/>
  <c r="AB222" i="41"/>
  <c r="W491" i="6"/>
  <c r="V491" i="6"/>
  <c r="U491" i="6"/>
  <c r="S491" i="6"/>
  <c r="N491" i="6"/>
  <c r="L491" i="6"/>
  <c r="J491" i="6"/>
  <c r="H491" i="6"/>
  <c r="E491" i="6"/>
  <c r="D491" i="6"/>
  <c r="C491" i="6"/>
  <c r="B491" i="6"/>
  <c r="AB478" i="41"/>
  <c r="W276" i="6"/>
  <c r="V276" i="6"/>
  <c r="U276" i="6"/>
  <c r="S276" i="6"/>
  <c r="N276" i="6"/>
  <c r="L276" i="6"/>
  <c r="J276" i="6"/>
  <c r="H276" i="6"/>
  <c r="E276" i="6"/>
  <c r="D276" i="6"/>
  <c r="C276" i="6"/>
  <c r="B276" i="6"/>
  <c r="AB263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88" i="6"/>
  <c r="V288" i="6"/>
  <c r="U288" i="6"/>
  <c r="S288" i="6"/>
  <c r="N288" i="6"/>
  <c r="L288" i="6"/>
  <c r="J288" i="6"/>
  <c r="H288" i="6"/>
  <c r="E288" i="6"/>
  <c r="D288" i="6"/>
  <c r="C288" i="6"/>
  <c r="B288" i="6"/>
  <c r="W293" i="6"/>
  <c r="V293" i="6"/>
  <c r="U293" i="6"/>
  <c r="S293" i="6"/>
  <c r="N293" i="6"/>
  <c r="L293" i="6"/>
  <c r="J293" i="6"/>
  <c r="H293" i="6"/>
  <c r="E293" i="6"/>
  <c r="D293" i="6"/>
  <c r="C293" i="6"/>
  <c r="B293" i="6"/>
  <c r="AB280" i="41"/>
  <c r="AB275" i="41"/>
  <c r="W171" i="6" l="1"/>
  <c r="V171" i="6"/>
  <c r="U171" i="6"/>
  <c r="S171" i="6"/>
  <c r="N171" i="6"/>
  <c r="L171" i="6"/>
  <c r="J171" i="6"/>
  <c r="H171" i="6"/>
  <c r="E171" i="6"/>
  <c r="D171" i="6"/>
  <c r="C171" i="6"/>
  <c r="B171" i="6"/>
  <c r="W355" i="6"/>
  <c r="V355" i="6"/>
  <c r="U355" i="6"/>
  <c r="S355" i="6"/>
  <c r="N355" i="6"/>
  <c r="L355" i="6"/>
  <c r="J355" i="6"/>
  <c r="H355" i="6"/>
  <c r="E355" i="6"/>
  <c r="D355" i="6"/>
  <c r="C355" i="6"/>
  <c r="B355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AB420" i="41"/>
  <c r="AB158" i="41"/>
  <c r="AB342" i="41"/>
  <c r="W290" i="6"/>
  <c r="V290" i="6"/>
  <c r="U290" i="6"/>
  <c r="S290" i="6"/>
  <c r="N290" i="6"/>
  <c r="L290" i="6"/>
  <c r="J290" i="6"/>
  <c r="H290" i="6"/>
  <c r="E290" i="6"/>
  <c r="D290" i="6"/>
  <c r="C290" i="6"/>
  <c r="B290" i="6"/>
  <c r="AB277" i="41"/>
  <c r="W242" i="6"/>
  <c r="V242" i="6"/>
  <c r="U242" i="6"/>
  <c r="S242" i="6"/>
  <c r="N242" i="6"/>
  <c r="L242" i="6"/>
  <c r="J242" i="6"/>
  <c r="H242" i="6"/>
  <c r="E242" i="6"/>
  <c r="D242" i="6"/>
  <c r="C242" i="6"/>
  <c r="B242" i="6"/>
  <c r="AB229" i="41"/>
  <c r="V39" i="6"/>
  <c r="U39" i="6"/>
  <c r="S39" i="6"/>
  <c r="N39" i="6"/>
  <c r="L39" i="6"/>
  <c r="J39" i="6"/>
  <c r="H39" i="6"/>
  <c r="E39" i="6"/>
  <c r="D39" i="6"/>
  <c r="C39" i="6"/>
  <c r="B39" i="6"/>
  <c r="AB26" i="41"/>
  <c r="W178" i="6"/>
  <c r="V178" i="6"/>
  <c r="U178" i="6"/>
  <c r="S178" i="6"/>
  <c r="N178" i="6"/>
  <c r="L178" i="6"/>
  <c r="J178" i="6"/>
  <c r="H178" i="6"/>
  <c r="E178" i="6"/>
  <c r="D178" i="6"/>
  <c r="C178" i="6"/>
  <c r="B178" i="6"/>
  <c r="AB165" i="41"/>
  <c r="W560" i="6"/>
  <c r="V560" i="6"/>
  <c r="U560" i="6"/>
  <c r="S560" i="6"/>
  <c r="N560" i="6"/>
  <c r="L560" i="6"/>
  <c r="J560" i="6"/>
  <c r="H560" i="6"/>
  <c r="E560" i="6"/>
  <c r="D560" i="6"/>
  <c r="C560" i="6"/>
  <c r="B560" i="6"/>
  <c r="W187" i="6"/>
  <c r="V187" i="6"/>
  <c r="U187" i="6"/>
  <c r="S187" i="6"/>
  <c r="N187" i="6"/>
  <c r="L187" i="6"/>
  <c r="J187" i="6"/>
  <c r="H187" i="6"/>
  <c r="E187" i="6"/>
  <c r="D187" i="6"/>
  <c r="C187" i="6"/>
  <c r="B187" i="6"/>
  <c r="AB174" i="41"/>
  <c r="AB547" i="41"/>
  <c r="W563" i="6"/>
  <c r="V563" i="6"/>
  <c r="U563" i="6"/>
  <c r="S563" i="6"/>
  <c r="N563" i="6"/>
  <c r="L563" i="6"/>
  <c r="J563" i="6"/>
  <c r="H563" i="6"/>
  <c r="E563" i="6"/>
  <c r="D563" i="6"/>
  <c r="C563" i="6"/>
  <c r="B563" i="6"/>
  <c r="AB550" i="41"/>
  <c r="W136" i="6"/>
  <c r="V136" i="6"/>
  <c r="U136" i="6"/>
  <c r="S136" i="6"/>
  <c r="N136" i="6"/>
  <c r="L136" i="6"/>
  <c r="J136" i="6"/>
  <c r="H136" i="6"/>
  <c r="E136" i="6"/>
  <c r="D136" i="6"/>
  <c r="C136" i="6"/>
  <c r="B136" i="6"/>
  <c r="AB123" i="41"/>
  <c r="W259" i="6"/>
  <c r="V259" i="6"/>
  <c r="U259" i="6"/>
  <c r="S259" i="6"/>
  <c r="N259" i="6"/>
  <c r="L259" i="6"/>
  <c r="J259" i="6"/>
  <c r="H259" i="6"/>
  <c r="E259" i="6"/>
  <c r="D259" i="6"/>
  <c r="C259" i="6"/>
  <c r="B259" i="6"/>
  <c r="AB246" i="41"/>
  <c r="W121" i="6"/>
  <c r="V121" i="6"/>
  <c r="U121" i="6"/>
  <c r="S121" i="6"/>
  <c r="N121" i="6"/>
  <c r="L121" i="6"/>
  <c r="J121" i="6"/>
  <c r="H121" i="6"/>
  <c r="E121" i="6"/>
  <c r="D121" i="6"/>
  <c r="C121" i="6"/>
  <c r="B121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AB422" i="41"/>
  <c r="W428" i="6"/>
  <c r="V428" i="6"/>
  <c r="U428" i="6"/>
  <c r="S428" i="6"/>
  <c r="N428" i="6"/>
  <c r="L428" i="6"/>
  <c r="J428" i="6"/>
  <c r="H428" i="6"/>
  <c r="E428" i="6"/>
  <c r="D428" i="6"/>
  <c r="C428" i="6"/>
  <c r="B428" i="6"/>
  <c r="AB415" i="41"/>
  <c r="W345" i="6"/>
  <c r="V345" i="6"/>
  <c r="U345" i="6"/>
  <c r="S345" i="6"/>
  <c r="N345" i="6"/>
  <c r="L345" i="6"/>
  <c r="J345" i="6"/>
  <c r="H345" i="6"/>
  <c r="E345" i="6"/>
  <c r="D345" i="6"/>
  <c r="C345" i="6"/>
  <c r="B345" i="6"/>
  <c r="AB332" i="41"/>
  <c r="W172" i="6"/>
  <c r="V172" i="6"/>
  <c r="U172" i="6"/>
  <c r="S172" i="6"/>
  <c r="N172" i="6"/>
  <c r="L172" i="6"/>
  <c r="J172" i="6"/>
  <c r="H172" i="6"/>
  <c r="E172" i="6"/>
  <c r="D172" i="6"/>
  <c r="C172" i="6"/>
  <c r="B172" i="6"/>
  <c r="W166" i="6"/>
  <c r="V166" i="6"/>
  <c r="U166" i="6"/>
  <c r="S166" i="6"/>
  <c r="N166" i="6"/>
  <c r="L166" i="6"/>
  <c r="J166" i="6"/>
  <c r="H166" i="6"/>
  <c r="E166" i="6"/>
  <c r="D166" i="6"/>
  <c r="C166" i="6"/>
  <c r="B166" i="6"/>
  <c r="AB159" i="41"/>
  <c r="AB153" i="41"/>
  <c r="W176" i="6"/>
  <c r="V176" i="6"/>
  <c r="U176" i="6"/>
  <c r="S176" i="6"/>
  <c r="N176" i="6"/>
  <c r="L176" i="6"/>
  <c r="J176" i="6"/>
  <c r="H176" i="6"/>
  <c r="E176" i="6"/>
  <c r="D176" i="6"/>
  <c r="C176" i="6"/>
  <c r="B176" i="6"/>
  <c r="AB163" i="41"/>
  <c r="W442" i="6"/>
  <c r="V442" i="6"/>
  <c r="U442" i="6"/>
  <c r="S442" i="6"/>
  <c r="N442" i="6"/>
  <c r="L442" i="6"/>
  <c r="J442" i="6"/>
  <c r="H442" i="6"/>
  <c r="E442" i="6"/>
  <c r="D442" i="6"/>
  <c r="C442" i="6"/>
  <c r="B442" i="6"/>
  <c r="W446" i="6"/>
  <c r="V446" i="6"/>
  <c r="U446" i="6"/>
  <c r="S446" i="6"/>
  <c r="N446" i="6"/>
  <c r="L446" i="6"/>
  <c r="J446" i="6"/>
  <c r="H446" i="6"/>
  <c r="E446" i="6"/>
  <c r="D446" i="6"/>
  <c r="C446" i="6"/>
  <c r="B446" i="6"/>
  <c r="AB433" i="41"/>
  <c r="AB429" i="41"/>
  <c r="W432" i="6"/>
  <c r="V432" i="6"/>
  <c r="U432" i="6"/>
  <c r="S432" i="6"/>
  <c r="N432" i="6"/>
  <c r="L432" i="6"/>
  <c r="J432" i="6"/>
  <c r="H432" i="6"/>
  <c r="E432" i="6"/>
  <c r="D432" i="6"/>
  <c r="C432" i="6"/>
  <c r="B432" i="6"/>
  <c r="W425" i="6"/>
  <c r="V425" i="6"/>
  <c r="U425" i="6"/>
  <c r="S425" i="6"/>
  <c r="N425" i="6"/>
  <c r="L425" i="6"/>
  <c r="J425" i="6"/>
  <c r="H425" i="6"/>
  <c r="E425" i="6"/>
  <c r="D425" i="6"/>
  <c r="C425" i="6"/>
  <c r="B425" i="6"/>
  <c r="AB419" i="41"/>
  <c r="AB412" i="41"/>
  <c r="AB405" i="41"/>
  <c r="W292" i="6"/>
  <c r="V292" i="6"/>
  <c r="U292" i="6"/>
  <c r="S292" i="6"/>
  <c r="N292" i="6"/>
  <c r="L292" i="6"/>
  <c r="J292" i="6"/>
  <c r="H292" i="6"/>
  <c r="E292" i="6"/>
  <c r="D292" i="6"/>
  <c r="C292" i="6"/>
  <c r="B292" i="6"/>
  <c r="AB279" i="41"/>
  <c r="W76" i="6"/>
  <c r="V76" i="6"/>
  <c r="U76" i="6"/>
  <c r="S76" i="6"/>
  <c r="N76" i="6"/>
  <c r="L76" i="6"/>
  <c r="J76" i="6"/>
  <c r="H76" i="6"/>
  <c r="E76" i="6"/>
  <c r="D76" i="6"/>
  <c r="C76" i="6"/>
  <c r="B76" i="6"/>
  <c r="AB63" i="41"/>
  <c r="W32" i="6"/>
  <c r="V32" i="6"/>
  <c r="U32" i="6"/>
  <c r="S32" i="6"/>
  <c r="N32" i="6"/>
  <c r="L32" i="6"/>
  <c r="J32" i="6"/>
  <c r="H32" i="6"/>
  <c r="E32" i="6"/>
  <c r="D32" i="6"/>
  <c r="C32" i="6"/>
  <c r="B32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9" i="41"/>
  <c r="W443" i="6"/>
  <c r="V443" i="6"/>
  <c r="U443" i="6"/>
  <c r="S443" i="6"/>
  <c r="N443" i="6"/>
  <c r="L443" i="6"/>
  <c r="J443" i="6"/>
  <c r="H443" i="6"/>
  <c r="E443" i="6"/>
  <c r="D443" i="6"/>
  <c r="C443" i="6"/>
  <c r="B443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W440" i="6"/>
  <c r="V440" i="6"/>
  <c r="U440" i="6"/>
  <c r="S440" i="6"/>
  <c r="N440" i="6"/>
  <c r="L440" i="6"/>
  <c r="J440" i="6"/>
  <c r="H440" i="6"/>
  <c r="E440" i="6"/>
  <c r="D440" i="6"/>
  <c r="C440" i="6"/>
  <c r="B440" i="6"/>
  <c r="W439" i="6"/>
  <c r="V439" i="6"/>
  <c r="U439" i="6"/>
  <c r="S439" i="6"/>
  <c r="N439" i="6"/>
  <c r="L439" i="6"/>
  <c r="J439" i="6"/>
  <c r="H439" i="6"/>
  <c r="E439" i="6"/>
  <c r="D439" i="6"/>
  <c r="C439" i="6"/>
  <c r="B439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AB414" i="41"/>
  <c r="W254" i="6"/>
  <c r="V254" i="6"/>
  <c r="U254" i="6"/>
  <c r="S254" i="6"/>
  <c r="N254" i="6"/>
  <c r="L254" i="6"/>
  <c r="J254" i="6"/>
  <c r="H254" i="6"/>
  <c r="E254" i="6"/>
  <c r="D254" i="6"/>
  <c r="C254" i="6"/>
  <c r="B254" i="6"/>
  <c r="AB241" i="41"/>
  <c r="W98" i="6"/>
  <c r="V98" i="6"/>
  <c r="U98" i="6"/>
  <c r="S98" i="6"/>
  <c r="N98" i="6"/>
  <c r="L98" i="6"/>
  <c r="J98" i="6"/>
  <c r="H98" i="6"/>
  <c r="E98" i="6"/>
  <c r="D98" i="6"/>
  <c r="C98" i="6"/>
  <c r="B98" i="6"/>
  <c r="AB85" i="41"/>
  <c r="V43" i="6"/>
  <c r="U43" i="6"/>
  <c r="S43" i="6"/>
  <c r="N43" i="6"/>
  <c r="L43" i="6"/>
  <c r="J43" i="6"/>
  <c r="H43" i="6"/>
  <c r="E43" i="6"/>
  <c r="D43" i="6"/>
  <c r="C43" i="6"/>
  <c r="B43" i="6"/>
  <c r="AB30" i="41"/>
  <c r="W566" i="6"/>
  <c r="V566" i="6"/>
  <c r="U566" i="6"/>
  <c r="S566" i="6"/>
  <c r="N566" i="6"/>
  <c r="L566" i="6"/>
  <c r="J566" i="6"/>
  <c r="H566" i="6"/>
  <c r="E566" i="6"/>
  <c r="D566" i="6"/>
  <c r="C566" i="6"/>
  <c r="B566" i="6"/>
  <c r="W567" i="6"/>
  <c r="V567" i="6"/>
  <c r="U567" i="6"/>
  <c r="S567" i="6"/>
  <c r="N567" i="6"/>
  <c r="L567" i="6"/>
  <c r="J567" i="6"/>
  <c r="H567" i="6"/>
  <c r="E567" i="6"/>
  <c r="D567" i="6"/>
  <c r="C567" i="6"/>
  <c r="B567" i="6"/>
  <c r="W564" i="6"/>
  <c r="V564" i="6"/>
  <c r="U564" i="6"/>
  <c r="S564" i="6"/>
  <c r="N564" i="6"/>
  <c r="L564" i="6"/>
  <c r="J564" i="6"/>
  <c r="H564" i="6"/>
  <c r="E564" i="6"/>
  <c r="D564" i="6"/>
  <c r="C564" i="6"/>
  <c r="B564" i="6"/>
  <c r="W561" i="6"/>
  <c r="V561" i="6"/>
  <c r="U561" i="6"/>
  <c r="S561" i="6"/>
  <c r="N561" i="6"/>
  <c r="L561" i="6"/>
  <c r="J561" i="6"/>
  <c r="H561" i="6"/>
  <c r="E561" i="6"/>
  <c r="D561" i="6"/>
  <c r="C561" i="6"/>
  <c r="B561" i="6"/>
  <c r="W559" i="6"/>
  <c r="V559" i="6"/>
  <c r="U559" i="6"/>
  <c r="S559" i="6"/>
  <c r="N559" i="6"/>
  <c r="L559" i="6"/>
  <c r="J559" i="6"/>
  <c r="H559" i="6"/>
  <c r="E559" i="6"/>
  <c r="D559" i="6"/>
  <c r="C559" i="6"/>
  <c r="B559" i="6"/>
  <c r="W557" i="6"/>
  <c r="V557" i="6"/>
  <c r="U557" i="6"/>
  <c r="S557" i="6"/>
  <c r="N557" i="6"/>
  <c r="L557" i="6"/>
  <c r="J557" i="6"/>
  <c r="H557" i="6"/>
  <c r="E557" i="6"/>
  <c r="D557" i="6"/>
  <c r="C557" i="6"/>
  <c r="B557" i="6"/>
  <c r="W556" i="6"/>
  <c r="V556" i="6"/>
  <c r="U556" i="6"/>
  <c r="S556" i="6"/>
  <c r="N556" i="6"/>
  <c r="L556" i="6"/>
  <c r="J556" i="6"/>
  <c r="H556" i="6"/>
  <c r="E556" i="6"/>
  <c r="D556" i="6"/>
  <c r="C556" i="6"/>
  <c r="B556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4" i="6"/>
  <c r="V554" i="6"/>
  <c r="U554" i="6"/>
  <c r="S554" i="6"/>
  <c r="N554" i="6"/>
  <c r="L554" i="6"/>
  <c r="J554" i="6"/>
  <c r="H554" i="6"/>
  <c r="E554" i="6"/>
  <c r="D554" i="6"/>
  <c r="C554" i="6"/>
  <c r="B554" i="6"/>
  <c r="W553" i="6"/>
  <c r="V553" i="6"/>
  <c r="U553" i="6"/>
  <c r="S553" i="6"/>
  <c r="N553" i="6"/>
  <c r="L553" i="6"/>
  <c r="J553" i="6"/>
  <c r="H553" i="6"/>
  <c r="E553" i="6"/>
  <c r="D553" i="6"/>
  <c r="C553" i="6"/>
  <c r="B553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50" i="6"/>
  <c r="V550" i="6"/>
  <c r="U550" i="6"/>
  <c r="S550" i="6"/>
  <c r="N550" i="6"/>
  <c r="L550" i="6"/>
  <c r="J550" i="6"/>
  <c r="H550" i="6"/>
  <c r="E550" i="6"/>
  <c r="D550" i="6"/>
  <c r="C550" i="6"/>
  <c r="B550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7" i="6"/>
  <c r="V547" i="6"/>
  <c r="U547" i="6"/>
  <c r="S547" i="6"/>
  <c r="N547" i="6"/>
  <c r="L547" i="6"/>
  <c r="J547" i="6"/>
  <c r="H547" i="6"/>
  <c r="E547" i="6"/>
  <c r="D547" i="6"/>
  <c r="C547" i="6"/>
  <c r="B547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30" i="6"/>
  <c r="V530" i="6"/>
  <c r="U530" i="6"/>
  <c r="S530" i="6"/>
  <c r="N530" i="6"/>
  <c r="L530" i="6"/>
  <c r="J530" i="6"/>
  <c r="H530" i="6"/>
  <c r="E530" i="6"/>
  <c r="D530" i="6"/>
  <c r="C530" i="6"/>
  <c r="B530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AB542" i="41"/>
  <c r="AB541" i="41"/>
  <c r="AB540" i="41"/>
  <c r="AB536" i="41"/>
  <c r="AB535" i="41"/>
  <c r="AB538" i="41"/>
  <c r="AB537" i="41"/>
  <c r="V508" i="6"/>
  <c r="U508" i="6"/>
  <c r="S508" i="6"/>
  <c r="N508" i="6"/>
  <c r="L508" i="6"/>
  <c r="J508" i="6"/>
  <c r="H508" i="6"/>
  <c r="E508" i="6"/>
  <c r="D508" i="6"/>
  <c r="C508" i="6"/>
  <c r="B508" i="6"/>
  <c r="W507" i="6"/>
  <c r="V507" i="6"/>
  <c r="U507" i="6"/>
  <c r="S507" i="6"/>
  <c r="N507" i="6"/>
  <c r="L507" i="6"/>
  <c r="J507" i="6"/>
  <c r="H507" i="6"/>
  <c r="E507" i="6"/>
  <c r="D507" i="6"/>
  <c r="C507" i="6"/>
  <c r="B507" i="6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499" i="6"/>
  <c r="V499" i="6"/>
  <c r="U499" i="6"/>
  <c r="S499" i="6"/>
  <c r="N499" i="6"/>
  <c r="L499" i="6"/>
  <c r="J499" i="6"/>
  <c r="H499" i="6"/>
  <c r="E499" i="6"/>
  <c r="D499" i="6"/>
  <c r="C499" i="6"/>
  <c r="B499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8" i="6"/>
  <c r="V498" i="6"/>
  <c r="U498" i="6"/>
  <c r="S498" i="6"/>
  <c r="N498" i="6"/>
  <c r="L498" i="6"/>
  <c r="J498" i="6"/>
  <c r="H498" i="6"/>
  <c r="E498" i="6"/>
  <c r="D498" i="6"/>
  <c r="C498" i="6"/>
  <c r="B498" i="6"/>
  <c r="V497" i="6"/>
  <c r="U497" i="6"/>
  <c r="S497" i="6"/>
  <c r="N497" i="6"/>
  <c r="L497" i="6"/>
  <c r="J497" i="6"/>
  <c r="H497" i="6"/>
  <c r="E497" i="6"/>
  <c r="D497" i="6"/>
  <c r="C497" i="6"/>
  <c r="B497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W495" i="6"/>
  <c r="V495" i="6"/>
  <c r="U495" i="6"/>
  <c r="S495" i="6"/>
  <c r="N495" i="6"/>
  <c r="L495" i="6"/>
  <c r="J495" i="6"/>
  <c r="H495" i="6"/>
  <c r="E495" i="6"/>
  <c r="D495" i="6"/>
  <c r="C495" i="6"/>
  <c r="B495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6" i="6"/>
  <c r="V486" i="6"/>
  <c r="U486" i="6"/>
  <c r="S486" i="6"/>
  <c r="N486" i="6"/>
  <c r="L486" i="6"/>
  <c r="J486" i="6"/>
  <c r="H486" i="6"/>
  <c r="E486" i="6"/>
  <c r="D486" i="6"/>
  <c r="C486" i="6"/>
  <c r="B486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AB494" i="41"/>
  <c r="AB493" i="41"/>
  <c r="AB492" i="41"/>
  <c r="AB486" i="41"/>
  <c r="AB481" i="41"/>
  <c r="AB490" i="41"/>
  <c r="W476" i="6"/>
  <c r="V476" i="6"/>
  <c r="U476" i="6"/>
  <c r="S476" i="6"/>
  <c r="N476" i="6"/>
  <c r="L476" i="6"/>
  <c r="J476" i="6"/>
  <c r="H476" i="6"/>
  <c r="E476" i="6"/>
  <c r="D476" i="6"/>
  <c r="C476" i="6"/>
  <c r="B476" i="6"/>
  <c r="W475" i="6"/>
  <c r="V475" i="6"/>
  <c r="U475" i="6"/>
  <c r="S475" i="6"/>
  <c r="N475" i="6"/>
  <c r="L475" i="6"/>
  <c r="J475" i="6"/>
  <c r="H475" i="6"/>
  <c r="E475" i="6"/>
  <c r="D475" i="6"/>
  <c r="C475" i="6"/>
  <c r="B475" i="6"/>
  <c r="W474" i="6"/>
  <c r="V474" i="6"/>
  <c r="U474" i="6"/>
  <c r="S474" i="6"/>
  <c r="N474" i="6"/>
  <c r="L474" i="6"/>
  <c r="J474" i="6"/>
  <c r="H474" i="6"/>
  <c r="E474" i="6"/>
  <c r="D474" i="6"/>
  <c r="C474" i="6"/>
  <c r="B474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70" i="6"/>
  <c r="V470" i="6"/>
  <c r="U470" i="6"/>
  <c r="S470" i="6"/>
  <c r="N470" i="6"/>
  <c r="L470" i="6"/>
  <c r="J470" i="6"/>
  <c r="H470" i="6"/>
  <c r="E470" i="6"/>
  <c r="D470" i="6"/>
  <c r="C470" i="6"/>
  <c r="B470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6" i="6"/>
  <c r="V466" i="6"/>
  <c r="U466" i="6"/>
  <c r="S466" i="6"/>
  <c r="N466" i="6"/>
  <c r="L466" i="6"/>
  <c r="J466" i="6"/>
  <c r="H466" i="6"/>
  <c r="E466" i="6"/>
  <c r="D466" i="6"/>
  <c r="C466" i="6"/>
  <c r="B466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4" i="6"/>
  <c r="V464" i="6"/>
  <c r="U464" i="6"/>
  <c r="S464" i="6"/>
  <c r="N464" i="6"/>
  <c r="L464" i="6"/>
  <c r="J464" i="6"/>
  <c r="H464" i="6"/>
  <c r="E464" i="6"/>
  <c r="D464" i="6"/>
  <c r="C464" i="6"/>
  <c r="B464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61" i="6"/>
  <c r="V461" i="6"/>
  <c r="U461" i="6"/>
  <c r="S461" i="6"/>
  <c r="N461" i="6"/>
  <c r="L461" i="6"/>
  <c r="J461" i="6"/>
  <c r="H461" i="6"/>
  <c r="E461" i="6"/>
  <c r="D461" i="6"/>
  <c r="C461" i="6"/>
  <c r="B461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AB463" i="41"/>
  <c r="AB462" i="41"/>
  <c r="AB444" i="41"/>
  <c r="W448" i="6"/>
  <c r="V448" i="6"/>
  <c r="U448" i="6"/>
  <c r="S448" i="6"/>
  <c r="N448" i="6"/>
  <c r="L448" i="6"/>
  <c r="J448" i="6"/>
  <c r="H448" i="6"/>
  <c r="E448" i="6"/>
  <c r="D448" i="6"/>
  <c r="C448" i="6"/>
  <c r="B448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W445" i="6"/>
  <c r="V445" i="6"/>
  <c r="U445" i="6"/>
  <c r="S445" i="6"/>
  <c r="N445" i="6"/>
  <c r="L445" i="6"/>
  <c r="J445" i="6"/>
  <c r="H445" i="6"/>
  <c r="E445" i="6"/>
  <c r="D445" i="6"/>
  <c r="C445" i="6"/>
  <c r="B445" i="6"/>
  <c r="AB426" i="41"/>
  <c r="AB425" i="41"/>
  <c r="AB424" i="41"/>
  <c r="W415" i="6"/>
  <c r="V415" i="6"/>
  <c r="U415" i="6"/>
  <c r="S415" i="6"/>
  <c r="N415" i="6"/>
  <c r="L415" i="6"/>
  <c r="J415" i="6"/>
  <c r="H415" i="6"/>
  <c r="E415" i="6"/>
  <c r="D415" i="6"/>
  <c r="C415" i="6"/>
  <c r="B415" i="6"/>
  <c r="W413" i="6"/>
  <c r="V413" i="6"/>
  <c r="U413" i="6"/>
  <c r="S413" i="6"/>
  <c r="N413" i="6"/>
  <c r="L413" i="6"/>
  <c r="J413" i="6"/>
  <c r="H413" i="6"/>
  <c r="E413" i="6"/>
  <c r="D413" i="6"/>
  <c r="C413" i="6"/>
  <c r="B413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411" i="6"/>
  <c r="V411" i="6"/>
  <c r="U411" i="6"/>
  <c r="S411" i="6"/>
  <c r="N411" i="6"/>
  <c r="L411" i="6"/>
  <c r="J411" i="6"/>
  <c r="H411" i="6"/>
  <c r="E411" i="6"/>
  <c r="D411" i="6"/>
  <c r="C411" i="6"/>
  <c r="B411" i="6"/>
  <c r="W410" i="6"/>
  <c r="V410" i="6"/>
  <c r="U410" i="6"/>
  <c r="S410" i="6"/>
  <c r="N410" i="6"/>
  <c r="L410" i="6"/>
  <c r="J410" i="6"/>
  <c r="H410" i="6"/>
  <c r="E410" i="6"/>
  <c r="D410" i="6"/>
  <c r="C410" i="6"/>
  <c r="B410" i="6"/>
  <c r="W409" i="6"/>
  <c r="V409" i="6"/>
  <c r="U409" i="6"/>
  <c r="S409" i="6"/>
  <c r="N409" i="6"/>
  <c r="L409" i="6"/>
  <c r="J409" i="6"/>
  <c r="H409" i="6"/>
  <c r="E409" i="6"/>
  <c r="D409" i="6"/>
  <c r="C409" i="6"/>
  <c r="B409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402" i="6"/>
  <c r="V402" i="6"/>
  <c r="U402" i="6"/>
  <c r="S402" i="6"/>
  <c r="N402" i="6"/>
  <c r="L402" i="6"/>
  <c r="J402" i="6"/>
  <c r="H402" i="6"/>
  <c r="E402" i="6"/>
  <c r="D402" i="6"/>
  <c r="C402" i="6"/>
  <c r="B402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400" i="6"/>
  <c r="V400" i="6"/>
  <c r="U400" i="6"/>
  <c r="S400" i="6"/>
  <c r="N400" i="6"/>
  <c r="L400" i="6"/>
  <c r="J400" i="6"/>
  <c r="H400" i="6"/>
  <c r="E400" i="6"/>
  <c r="D400" i="6"/>
  <c r="C400" i="6"/>
  <c r="B400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AB403" i="41"/>
  <c r="AB404" i="41"/>
  <c r="AB399" i="41"/>
  <c r="W384" i="6"/>
  <c r="V384" i="6"/>
  <c r="U384" i="6"/>
  <c r="S384" i="6"/>
  <c r="N384" i="6"/>
  <c r="L384" i="6"/>
  <c r="J384" i="6"/>
  <c r="H384" i="6"/>
  <c r="E384" i="6"/>
  <c r="D384" i="6"/>
  <c r="C384" i="6"/>
  <c r="B384" i="6"/>
  <c r="W383" i="6"/>
  <c r="V383" i="6"/>
  <c r="U383" i="6"/>
  <c r="S383" i="6"/>
  <c r="N383" i="6"/>
  <c r="L383" i="6"/>
  <c r="J383" i="6"/>
  <c r="H383" i="6"/>
  <c r="E383" i="6"/>
  <c r="D383" i="6"/>
  <c r="C383" i="6"/>
  <c r="B383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W380" i="6"/>
  <c r="V380" i="6"/>
  <c r="U380" i="6"/>
  <c r="S380" i="6"/>
  <c r="N380" i="6"/>
  <c r="L380" i="6"/>
  <c r="J380" i="6"/>
  <c r="H380" i="6"/>
  <c r="E380" i="6"/>
  <c r="D380" i="6"/>
  <c r="C380" i="6"/>
  <c r="B380" i="6"/>
  <c r="W379" i="6"/>
  <c r="V379" i="6"/>
  <c r="U379" i="6"/>
  <c r="S379" i="6"/>
  <c r="N379" i="6"/>
  <c r="L379" i="6"/>
  <c r="J379" i="6"/>
  <c r="H379" i="6"/>
  <c r="E379" i="6"/>
  <c r="D379" i="6"/>
  <c r="C379" i="6"/>
  <c r="B379" i="6"/>
  <c r="W377" i="6"/>
  <c r="V377" i="6"/>
  <c r="U377" i="6"/>
  <c r="S377" i="6"/>
  <c r="N377" i="6"/>
  <c r="L377" i="6"/>
  <c r="J377" i="6"/>
  <c r="H377" i="6"/>
  <c r="E377" i="6"/>
  <c r="D377" i="6"/>
  <c r="C377" i="6"/>
  <c r="B377" i="6"/>
  <c r="W376" i="6"/>
  <c r="V376" i="6"/>
  <c r="U376" i="6"/>
  <c r="S376" i="6"/>
  <c r="N376" i="6"/>
  <c r="L376" i="6"/>
  <c r="J376" i="6"/>
  <c r="H376" i="6"/>
  <c r="E376" i="6"/>
  <c r="D376" i="6"/>
  <c r="C376" i="6"/>
  <c r="B376" i="6"/>
  <c r="W374" i="6"/>
  <c r="V374" i="6"/>
  <c r="U374" i="6"/>
  <c r="S374" i="6"/>
  <c r="N374" i="6"/>
  <c r="L374" i="6"/>
  <c r="J374" i="6"/>
  <c r="H374" i="6"/>
  <c r="E374" i="6"/>
  <c r="D374" i="6"/>
  <c r="C374" i="6"/>
  <c r="B374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70" i="6"/>
  <c r="V370" i="6"/>
  <c r="U370" i="6"/>
  <c r="S370" i="6"/>
  <c r="N370" i="6"/>
  <c r="L370" i="6"/>
  <c r="J370" i="6"/>
  <c r="H370" i="6"/>
  <c r="E370" i="6"/>
  <c r="D370" i="6"/>
  <c r="C370" i="6"/>
  <c r="B370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AB364" i="41"/>
  <c r="AB363" i="41"/>
  <c r="W344" i="6"/>
  <c r="V344" i="6"/>
  <c r="U344" i="6"/>
  <c r="S344" i="6"/>
  <c r="N344" i="6"/>
  <c r="L344" i="6"/>
  <c r="J344" i="6"/>
  <c r="H344" i="6"/>
  <c r="E344" i="6"/>
  <c r="D344" i="6"/>
  <c r="C344" i="6"/>
  <c r="B344" i="6"/>
  <c r="W343" i="6"/>
  <c r="V343" i="6"/>
  <c r="U343" i="6"/>
  <c r="S343" i="6"/>
  <c r="N343" i="6"/>
  <c r="L343" i="6"/>
  <c r="J343" i="6"/>
  <c r="H343" i="6"/>
  <c r="E343" i="6"/>
  <c r="D343" i="6"/>
  <c r="C343" i="6"/>
  <c r="B343" i="6"/>
  <c r="W342" i="6"/>
  <c r="V342" i="6"/>
  <c r="U342" i="6"/>
  <c r="S342" i="6"/>
  <c r="N342" i="6"/>
  <c r="L342" i="6"/>
  <c r="J342" i="6"/>
  <c r="H342" i="6"/>
  <c r="E342" i="6"/>
  <c r="D342" i="6"/>
  <c r="C342" i="6"/>
  <c r="B342" i="6"/>
  <c r="W341" i="6"/>
  <c r="V341" i="6"/>
  <c r="U341" i="6"/>
  <c r="S341" i="6"/>
  <c r="N341" i="6"/>
  <c r="L341" i="6"/>
  <c r="J341" i="6"/>
  <c r="H341" i="6"/>
  <c r="E341" i="6"/>
  <c r="D341" i="6"/>
  <c r="C341" i="6"/>
  <c r="B341" i="6"/>
  <c r="W340" i="6"/>
  <c r="V340" i="6"/>
  <c r="U340" i="6"/>
  <c r="S340" i="6"/>
  <c r="N340" i="6"/>
  <c r="L340" i="6"/>
  <c r="J340" i="6"/>
  <c r="H340" i="6"/>
  <c r="E340" i="6"/>
  <c r="D340" i="6"/>
  <c r="C340" i="6"/>
  <c r="B340" i="6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AB326" i="41"/>
  <c r="AB325" i="41"/>
  <c r="AB321" i="41"/>
  <c r="W327" i="6"/>
  <c r="V327" i="6"/>
  <c r="U327" i="6"/>
  <c r="S327" i="6"/>
  <c r="N327" i="6"/>
  <c r="L327" i="6"/>
  <c r="J327" i="6"/>
  <c r="H327" i="6"/>
  <c r="E327" i="6"/>
  <c r="D327" i="6"/>
  <c r="C327" i="6"/>
  <c r="B327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329" i="6"/>
  <c r="V329" i="6"/>
  <c r="U329" i="6"/>
  <c r="S329" i="6"/>
  <c r="N329" i="6"/>
  <c r="L329" i="6"/>
  <c r="J329" i="6"/>
  <c r="H329" i="6"/>
  <c r="E329" i="6"/>
  <c r="D329" i="6"/>
  <c r="C329" i="6"/>
  <c r="B329" i="6"/>
  <c r="W328" i="6"/>
  <c r="V328" i="6"/>
  <c r="U328" i="6"/>
  <c r="S328" i="6"/>
  <c r="N328" i="6"/>
  <c r="L328" i="6"/>
  <c r="J328" i="6"/>
  <c r="H328" i="6"/>
  <c r="E328" i="6"/>
  <c r="D328" i="6"/>
  <c r="C328" i="6"/>
  <c r="B32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316" i="6"/>
  <c r="V316" i="6"/>
  <c r="U316" i="6"/>
  <c r="S316" i="6"/>
  <c r="N316" i="6"/>
  <c r="L316" i="6"/>
  <c r="J316" i="6"/>
  <c r="H316" i="6"/>
  <c r="E316" i="6"/>
  <c r="D316" i="6"/>
  <c r="C316" i="6"/>
  <c r="B316" i="6"/>
  <c r="W315" i="6"/>
  <c r="V315" i="6"/>
  <c r="U315" i="6"/>
  <c r="S315" i="6"/>
  <c r="N315" i="6"/>
  <c r="L315" i="6"/>
  <c r="J315" i="6"/>
  <c r="H315" i="6"/>
  <c r="E315" i="6"/>
  <c r="D315" i="6"/>
  <c r="C315" i="6"/>
  <c r="B315" i="6"/>
  <c r="W314" i="6"/>
  <c r="V314" i="6"/>
  <c r="U314" i="6"/>
  <c r="S314" i="6"/>
  <c r="N314" i="6"/>
  <c r="L314" i="6"/>
  <c r="J314" i="6"/>
  <c r="H314" i="6"/>
  <c r="E314" i="6"/>
  <c r="D314" i="6"/>
  <c r="C314" i="6"/>
  <c r="B314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AB316" i="41"/>
  <c r="AB299" i="41"/>
  <c r="AB298" i="41"/>
  <c r="AB297" i="41"/>
  <c r="AB296" i="41"/>
  <c r="AB295" i="41"/>
  <c r="AB291" i="41"/>
  <c r="W285" i="6"/>
  <c r="V285" i="6"/>
  <c r="U285" i="6"/>
  <c r="S285" i="6"/>
  <c r="N285" i="6"/>
  <c r="L285" i="6"/>
  <c r="J285" i="6"/>
  <c r="H285" i="6"/>
  <c r="E285" i="6"/>
  <c r="D285" i="6"/>
  <c r="C285" i="6"/>
  <c r="B285" i="6"/>
  <c r="W283" i="6"/>
  <c r="V283" i="6"/>
  <c r="U283" i="6"/>
  <c r="S283" i="6"/>
  <c r="N283" i="6"/>
  <c r="L283" i="6"/>
  <c r="J283" i="6"/>
  <c r="H283" i="6"/>
  <c r="E283" i="6"/>
  <c r="D283" i="6"/>
  <c r="C283" i="6"/>
  <c r="B283" i="6"/>
  <c r="W282" i="6"/>
  <c r="V282" i="6"/>
  <c r="U282" i="6"/>
  <c r="S282" i="6"/>
  <c r="N282" i="6"/>
  <c r="L282" i="6"/>
  <c r="J282" i="6"/>
  <c r="H282" i="6"/>
  <c r="E282" i="6"/>
  <c r="D282" i="6"/>
  <c r="C282" i="6"/>
  <c r="B282" i="6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279" i="6"/>
  <c r="V279" i="6"/>
  <c r="U279" i="6"/>
  <c r="S279" i="6"/>
  <c r="N279" i="6"/>
  <c r="L279" i="6"/>
  <c r="J279" i="6"/>
  <c r="H279" i="6"/>
  <c r="E279" i="6"/>
  <c r="D279" i="6"/>
  <c r="C279" i="6"/>
  <c r="B279" i="6"/>
  <c r="W278" i="6"/>
  <c r="V278" i="6"/>
  <c r="U278" i="6"/>
  <c r="S278" i="6"/>
  <c r="N278" i="6"/>
  <c r="L278" i="6"/>
  <c r="J278" i="6"/>
  <c r="H278" i="6"/>
  <c r="E278" i="6"/>
  <c r="D278" i="6"/>
  <c r="C278" i="6"/>
  <c r="B278" i="6"/>
  <c r="AB272" i="41"/>
  <c r="W266" i="6"/>
  <c r="V266" i="6"/>
  <c r="U266" i="6"/>
  <c r="S266" i="6"/>
  <c r="N266" i="6"/>
  <c r="L266" i="6"/>
  <c r="J266" i="6"/>
  <c r="H266" i="6"/>
  <c r="E266" i="6"/>
  <c r="D266" i="6"/>
  <c r="C266" i="6"/>
  <c r="B266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V261" i="6"/>
  <c r="U261" i="6"/>
  <c r="S261" i="6"/>
  <c r="N261" i="6"/>
  <c r="L261" i="6"/>
  <c r="J261" i="6"/>
  <c r="H261" i="6"/>
  <c r="E261" i="6"/>
  <c r="D261" i="6"/>
  <c r="C261" i="6"/>
  <c r="B261" i="6"/>
  <c r="W260" i="6"/>
  <c r="V260" i="6"/>
  <c r="U260" i="6"/>
  <c r="S260" i="6"/>
  <c r="N260" i="6"/>
  <c r="L260" i="6"/>
  <c r="J260" i="6"/>
  <c r="H260" i="6"/>
  <c r="E260" i="6"/>
  <c r="D260" i="6"/>
  <c r="C260" i="6"/>
  <c r="B260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V257" i="6"/>
  <c r="U257" i="6"/>
  <c r="S257" i="6"/>
  <c r="N257" i="6"/>
  <c r="L257" i="6"/>
  <c r="J257" i="6"/>
  <c r="H257" i="6"/>
  <c r="E257" i="6"/>
  <c r="D257" i="6"/>
  <c r="C257" i="6"/>
  <c r="B257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55" i="6"/>
  <c r="V255" i="6"/>
  <c r="U255" i="6"/>
  <c r="S255" i="6"/>
  <c r="N255" i="6"/>
  <c r="L255" i="6"/>
  <c r="J255" i="6"/>
  <c r="H255" i="6"/>
  <c r="E255" i="6"/>
  <c r="D255" i="6"/>
  <c r="C255" i="6"/>
  <c r="B255" i="6"/>
  <c r="W253" i="6"/>
  <c r="V253" i="6"/>
  <c r="U253" i="6"/>
  <c r="S253" i="6"/>
  <c r="N253" i="6"/>
  <c r="L253" i="6"/>
  <c r="J253" i="6"/>
  <c r="H253" i="6"/>
  <c r="E253" i="6"/>
  <c r="D253" i="6"/>
  <c r="C253" i="6"/>
  <c r="B253" i="6"/>
  <c r="W252" i="6"/>
  <c r="V252" i="6"/>
  <c r="U252" i="6"/>
  <c r="S252" i="6"/>
  <c r="N252" i="6"/>
  <c r="L252" i="6"/>
  <c r="J252" i="6"/>
  <c r="H252" i="6"/>
  <c r="E252" i="6"/>
  <c r="D252" i="6"/>
  <c r="C252" i="6"/>
  <c r="B252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49" i="6"/>
  <c r="V249" i="6"/>
  <c r="U249" i="6"/>
  <c r="S249" i="6"/>
  <c r="N249" i="6"/>
  <c r="L249" i="6"/>
  <c r="J249" i="6"/>
  <c r="H249" i="6"/>
  <c r="E249" i="6"/>
  <c r="D249" i="6"/>
  <c r="C249" i="6"/>
  <c r="B249" i="6"/>
  <c r="AB250" i="41"/>
  <c r="AB249" i="41"/>
  <c r="AB248" i="41"/>
  <c r="AB247" i="41"/>
  <c r="AB245" i="41"/>
  <c r="AB244" i="41"/>
  <c r="AB238" i="41"/>
  <c r="W240" i="6"/>
  <c r="V240" i="6"/>
  <c r="U240" i="6"/>
  <c r="S240" i="6"/>
  <c r="N240" i="6"/>
  <c r="L240" i="6"/>
  <c r="J240" i="6"/>
  <c r="H240" i="6"/>
  <c r="E240" i="6"/>
  <c r="D240" i="6"/>
  <c r="C240" i="6"/>
  <c r="B240" i="6"/>
  <c r="W238" i="6"/>
  <c r="V238" i="6"/>
  <c r="U238" i="6"/>
  <c r="S238" i="6"/>
  <c r="N238" i="6"/>
  <c r="L238" i="6"/>
  <c r="J238" i="6"/>
  <c r="H238" i="6"/>
  <c r="E238" i="6"/>
  <c r="D238" i="6"/>
  <c r="C238" i="6"/>
  <c r="B238" i="6"/>
  <c r="W223" i="6"/>
  <c r="V223" i="6"/>
  <c r="U223" i="6"/>
  <c r="S223" i="6"/>
  <c r="N223" i="6"/>
  <c r="L223" i="6"/>
  <c r="J223" i="6"/>
  <c r="H223" i="6"/>
  <c r="E223" i="6"/>
  <c r="D223" i="6"/>
  <c r="C223" i="6"/>
  <c r="B223" i="6"/>
  <c r="W234" i="6"/>
  <c r="V234" i="6"/>
  <c r="U234" i="6"/>
  <c r="S234" i="6"/>
  <c r="N234" i="6"/>
  <c r="L234" i="6"/>
  <c r="J234" i="6"/>
  <c r="H234" i="6"/>
  <c r="E234" i="6"/>
  <c r="D234" i="6"/>
  <c r="C234" i="6"/>
  <c r="B234" i="6"/>
  <c r="W233" i="6"/>
  <c r="V233" i="6"/>
  <c r="U233" i="6"/>
  <c r="S233" i="6"/>
  <c r="N233" i="6"/>
  <c r="L233" i="6"/>
  <c r="J233" i="6"/>
  <c r="H233" i="6"/>
  <c r="E233" i="6"/>
  <c r="D233" i="6"/>
  <c r="C233" i="6"/>
  <c r="B233" i="6"/>
  <c r="W231" i="6"/>
  <c r="V231" i="6"/>
  <c r="U231" i="6"/>
  <c r="S231" i="6"/>
  <c r="N231" i="6"/>
  <c r="L231" i="6"/>
  <c r="J231" i="6"/>
  <c r="H231" i="6"/>
  <c r="E231" i="6"/>
  <c r="D231" i="6"/>
  <c r="C231" i="6"/>
  <c r="B231" i="6"/>
  <c r="V230" i="6"/>
  <c r="U230" i="6"/>
  <c r="S230" i="6"/>
  <c r="N230" i="6"/>
  <c r="L230" i="6"/>
  <c r="J230" i="6"/>
  <c r="H230" i="6"/>
  <c r="E230" i="6"/>
  <c r="D230" i="6"/>
  <c r="C230" i="6"/>
  <c r="B230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7" i="6"/>
  <c r="V227" i="6"/>
  <c r="U227" i="6"/>
  <c r="S227" i="6"/>
  <c r="N227" i="6"/>
  <c r="L227" i="6"/>
  <c r="J227" i="6"/>
  <c r="H227" i="6"/>
  <c r="E227" i="6"/>
  <c r="D227" i="6"/>
  <c r="C227" i="6"/>
  <c r="B227" i="6"/>
  <c r="W226" i="6"/>
  <c r="V226" i="6"/>
  <c r="U226" i="6"/>
  <c r="S226" i="6"/>
  <c r="N226" i="6"/>
  <c r="L226" i="6"/>
  <c r="J226" i="6"/>
  <c r="H226" i="6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4" i="6"/>
  <c r="V224" i="6"/>
  <c r="U224" i="6"/>
  <c r="S224" i="6"/>
  <c r="N224" i="6"/>
  <c r="L224" i="6"/>
  <c r="J224" i="6"/>
  <c r="H224" i="6"/>
  <c r="E224" i="6"/>
  <c r="D224" i="6"/>
  <c r="C224" i="6"/>
  <c r="B224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V213" i="6"/>
  <c r="U213" i="6"/>
  <c r="S213" i="6"/>
  <c r="N213" i="6"/>
  <c r="L213" i="6"/>
  <c r="J213" i="6"/>
  <c r="H213" i="6"/>
  <c r="E213" i="6"/>
  <c r="D213" i="6"/>
  <c r="C213" i="6"/>
  <c r="B213" i="6"/>
  <c r="AB225" i="41"/>
  <c r="AB227" i="41"/>
  <c r="AB216" i="41"/>
  <c r="AB214" i="41"/>
  <c r="AB213" i="41"/>
  <c r="AB212" i="41"/>
  <c r="AB211" i="41"/>
  <c r="AB208" i="41"/>
  <c r="AB209" i="41"/>
  <c r="W204" i="6"/>
  <c r="V204" i="6"/>
  <c r="U204" i="6"/>
  <c r="S204" i="6"/>
  <c r="N204" i="6"/>
  <c r="L204" i="6"/>
  <c r="J204" i="6"/>
  <c r="H204" i="6"/>
  <c r="E204" i="6"/>
  <c r="D204" i="6"/>
  <c r="C204" i="6"/>
  <c r="B204" i="6"/>
  <c r="W202" i="6"/>
  <c r="V202" i="6"/>
  <c r="U202" i="6"/>
  <c r="S202" i="6"/>
  <c r="N202" i="6"/>
  <c r="L202" i="6"/>
  <c r="J202" i="6"/>
  <c r="H202" i="6"/>
  <c r="E202" i="6"/>
  <c r="D202" i="6"/>
  <c r="C202" i="6"/>
  <c r="B202" i="6"/>
  <c r="W201" i="6"/>
  <c r="V201" i="6"/>
  <c r="U201" i="6"/>
  <c r="S201" i="6"/>
  <c r="N201" i="6"/>
  <c r="L201" i="6"/>
  <c r="J201" i="6"/>
  <c r="H201" i="6"/>
  <c r="E201" i="6"/>
  <c r="D201" i="6"/>
  <c r="C201" i="6"/>
  <c r="B201" i="6"/>
  <c r="W200" i="6"/>
  <c r="V200" i="6"/>
  <c r="U200" i="6"/>
  <c r="S200" i="6"/>
  <c r="N200" i="6"/>
  <c r="L200" i="6"/>
  <c r="J200" i="6"/>
  <c r="H200" i="6"/>
  <c r="E200" i="6"/>
  <c r="D200" i="6"/>
  <c r="C200" i="6"/>
  <c r="B200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5" i="6"/>
  <c r="V195" i="6"/>
  <c r="U195" i="6"/>
  <c r="S195" i="6"/>
  <c r="N195" i="6"/>
  <c r="L195" i="6"/>
  <c r="J195" i="6"/>
  <c r="H195" i="6"/>
  <c r="E195" i="6"/>
  <c r="D195" i="6"/>
  <c r="C195" i="6"/>
  <c r="B195" i="6"/>
  <c r="V191" i="6"/>
  <c r="U191" i="6"/>
  <c r="S191" i="6"/>
  <c r="N191" i="6"/>
  <c r="L191" i="6"/>
  <c r="J191" i="6"/>
  <c r="H191" i="6"/>
  <c r="E191" i="6"/>
  <c r="D191" i="6"/>
  <c r="C191" i="6"/>
  <c r="B191" i="6"/>
  <c r="W194" i="6"/>
  <c r="V194" i="6"/>
  <c r="U194" i="6"/>
  <c r="S194" i="6"/>
  <c r="N194" i="6"/>
  <c r="L194" i="6"/>
  <c r="J194" i="6"/>
  <c r="H194" i="6"/>
  <c r="E194" i="6"/>
  <c r="D194" i="6"/>
  <c r="C194" i="6"/>
  <c r="B194" i="6"/>
  <c r="W193" i="6"/>
  <c r="V193" i="6"/>
  <c r="U193" i="6"/>
  <c r="S193" i="6"/>
  <c r="N193" i="6"/>
  <c r="L193" i="6"/>
  <c r="J193" i="6"/>
  <c r="H193" i="6"/>
  <c r="E193" i="6"/>
  <c r="D193" i="6"/>
  <c r="C193" i="6"/>
  <c r="B193" i="6"/>
  <c r="W192" i="6"/>
  <c r="V192" i="6"/>
  <c r="U192" i="6"/>
  <c r="S192" i="6"/>
  <c r="N192" i="6"/>
  <c r="L192" i="6"/>
  <c r="J192" i="6"/>
  <c r="H192" i="6"/>
  <c r="E192" i="6"/>
  <c r="D192" i="6"/>
  <c r="C192" i="6"/>
  <c r="B192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V189" i="6"/>
  <c r="U189" i="6"/>
  <c r="S189" i="6"/>
  <c r="N189" i="6"/>
  <c r="L189" i="6"/>
  <c r="J189" i="6"/>
  <c r="H189" i="6"/>
  <c r="E189" i="6"/>
  <c r="D189" i="6"/>
  <c r="C189" i="6"/>
  <c r="B189" i="6"/>
  <c r="W188" i="6"/>
  <c r="V188" i="6"/>
  <c r="U188" i="6"/>
  <c r="S188" i="6"/>
  <c r="N188" i="6"/>
  <c r="L188" i="6"/>
  <c r="J188" i="6"/>
  <c r="H188" i="6"/>
  <c r="E188" i="6"/>
  <c r="D188" i="6"/>
  <c r="C188" i="6"/>
  <c r="B188" i="6"/>
  <c r="W186" i="6"/>
  <c r="V186" i="6"/>
  <c r="U186" i="6"/>
  <c r="S186" i="6"/>
  <c r="N186" i="6"/>
  <c r="L186" i="6"/>
  <c r="J186" i="6"/>
  <c r="H186" i="6"/>
  <c r="E186" i="6"/>
  <c r="D186" i="6"/>
  <c r="C186" i="6"/>
  <c r="B186" i="6"/>
  <c r="W185" i="6"/>
  <c r="V185" i="6"/>
  <c r="U185" i="6"/>
  <c r="S185" i="6"/>
  <c r="N185" i="6"/>
  <c r="L185" i="6"/>
  <c r="J185" i="6"/>
  <c r="H185" i="6"/>
  <c r="E185" i="6"/>
  <c r="D185" i="6"/>
  <c r="C185" i="6"/>
  <c r="B185" i="6"/>
  <c r="V184" i="6"/>
  <c r="U184" i="6"/>
  <c r="S184" i="6"/>
  <c r="N184" i="6"/>
  <c r="L184" i="6"/>
  <c r="J184" i="6"/>
  <c r="H184" i="6"/>
  <c r="E184" i="6"/>
  <c r="D184" i="6"/>
  <c r="C184" i="6"/>
  <c r="B184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AB176" i="41"/>
  <c r="AB177" i="41"/>
  <c r="AB179" i="41"/>
  <c r="AB167" i="41"/>
  <c r="AB168" i="41"/>
  <c r="AB169" i="41"/>
  <c r="W168" i="6"/>
  <c r="V168" i="6"/>
  <c r="U168" i="6"/>
  <c r="S168" i="6"/>
  <c r="N168" i="6"/>
  <c r="L168" i="6"/>
  <c r="J168" i="6"/>
  <c r="H168" i="6"/>
  <c r="E168" i="6"/>
  <c r="D168" i="6"/>
  <c r="C168" i="6"/>
  <c r="B168" i="6"/>
  <c r="W164" i="6"/>
  <c r="V164" i="6"/>
  <c r="U164" i="6"/>
  <c r="S164" i="6"/>
  <c r="N164" i="6"/>
  <c r="L164" i="6"/>
  <c r="J164" i="6"/>
  <c r="H164" i="6"/>
  <c r="E164" i="6"/>
  <c r="D164" i="6"/>
  <c r="C164" i="6"/>
  <c r="B164" i="6"/>
  <c r="V163" i="6"/>
  <c r="U163" i="6"/>
  <c r="S163" i="6"/>
  <c r="N163" i="6"/>
  <c r="L163" i="6"/>
  <c r="J163" i="6"/>
  <c r="H163" i="6"/>
  <c r="E163" i="6"/>
  <c r="D163" i="6"/>
  <c r="C163" i="6"/>
  <c r="B163" i="6"/>
  <c r="W162" i="6"/>
  <c r="V162" i="6"/>
  <c r="U162" i="6"/>
  <c r="S162" i="6"/>
  <c r="N162" i="6"/>
  <c r="L162" i="6"/>
  <c r="J162" i="6"/>
  <c r="H162" i="6"/>
  <c r="E162" i="6"/>
  <c r="D162" i="6"/>
  <c r="C162" i="6"/>
  <c r="B162" i="6"/>
  <c r="W160" i="6"/>
  <c r="V160" i="6"/>
  <c r="U160" i="6"/>
  <c r="S160" i="6"/>
  <c r="N160" i="6"/>
  <c r="L160" i="6"/>
  <c r="J160" i="6"/>
  <c r="H160" i="6"/>
  <c r="E160" i="6"/>
  <c r="D160" i="6"/>
  <c r="C160" i="6"/>
  <c r="B160" i="6"/>
  <c r="W159" i="6"/>
  <c r="V159" i="6"/>
  <c r="U159" i="6"/>
  <c r="S159" i="6"/>
  <c r="N159" i="6"/>
  <c r="L159" i="6"/>
  <c r="J159" i="6"/>
  <c r="H159" i="6"/>
  <c r="E159" i="6"/>
  <c r="D159" i="6"/>
  <c r="C159" i="6"/>
  <c r="B159" i="6"/>
  <c r="W158" i="6"/>
  <c r="V158" i="6"/>
  <c r="U158" i="6"/>
  <c r="S158" i="6"/>
  <c r="N158" i="6"/>
  <c r="L158" i="6"/>
  <c r="J158" i="6"/>
  <c r="H158" i="6"/>
  <c r="E158" i="6"/>
  <c r="D158" i="6"/>
  <c r="C158" i="6"/>
  <c r="B158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AB138" i="41"/>
  <c r="AB137" i="41"/>
  <c r="AB135" i="41"/>
  <c r="W139" i="6" l="1"/>
  <c r="V139" i="6"/>
  <c r="U139" i="6"/>
  <c r="S139" i="6"/>
  <c r="N139" i="6"/>
  <c r="L139" i="6"/>
  <c r="J139" i="6"/>
  <c r="H139" i="6"/>
  <c r="E139" i="6"/>
  <c r="D139" i="6"/>
  <c r="C139" i="6"/>
  <c r="B139" i="6"/>
  <c r="W138" i="6"/>
  <c r="V138" i="6"/>
  <c r="U138" i="6"/>
  <c r="S138" i="6"/>
  <c r="N138" i="6"/>
  <c r="L138" i="6"/>
  <c r="J138" i="6"/>
  <c r="H138" i="6"/>
  <c r="E138" i="6"/>
  <c r="D138" i="6"/>
  <c r="C138" i="6"/>
  <c r="B138" i="6"/>
  <c r="W137" i="6"/>
  <c r="V137" i="6"/>
  <c r="U137" i="6"/>
  <c r="S137" i="6"/>
  <c r="N137" i="6"/>
  <c r="L137" i="6"/>
  <c r="J137" i="6"/>
  <c r="H137" i="6"/>
  <c r="E137" i="6"/>
  <c r="D137" i="6"/>
  <c r="C137" i="6"/>
  <c r="B137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W133" i="6"/>
  <c r="V133" i="6"/>
  <c r="U133" i="6"/>
  <c r="S133" i="6"/>
  <c r="N133" i="6"/>
  <c r="L133" i="6"/>
  <c r="J133" i="6"/>
  <c r="H133" i="6"/>
  <c r="E133" i="6"/>
  <c r="D133" i="6"/>
  <c r="C133" i="6"/>
  <c r="B133" i="6"/>
  <c r="W132" i="6"/>
  <c r="V132" i="6"/>
  <c r="U132" i="6"/>
  <c r="S132" i="6"/>
  <c r="N132" i="6"/>
  <c r="L132" i="6"/>
  <c r="J132" i="6"/>
  <c r="H132" i="6"/>
  <c r="E132" i="6"/>
  <c r="D132" i="6"/>
  <c r="C132" i="6"/>
  <c r="B132" i="6"/>
  <c r="V131" i="6"/>
  <c r="U131" i="6"/>
  <c r="S131" i="6"/>
  <c r="N131" i="6"/>
  <c r="L131" i="6"/>
  <c r="J131" i="6"/>
  <c r="H131" i="6"/>
  <c r="E131" i="6"/>
  <c r="D131" i="6"/>
  <c r="C131" i="6"/>
  <c r="B131" i="6"/>
  <c r="W130" i="6"/>
  <c r="V130" i="6"/>
  <c r="U130" i="6"/>
  <c r="S130" i="6"/>
  <c r="N130" i="6"/>
  <c r="L130" i="6"/>
  <c r="J130" i="6"/>
  <c r="H130" i="6"/>
  <c r="E130" i="6"/>
  <c r="D130" i="6"/>
  <c r="C130" i="6"/>
  <c r="B130" i="6"/>
  <c r="W129" i="6"/>
  <c r="V129" i="6"/>
  <c r="U129" i="6"/>
  <c r="S129" i="6"/>
  <c r="N129" i="6"/>
  <c r="L129" i="6"/>
  <c r="J129" i="6"/>
  <c r="H129" i="6"/>
  <c r="E129" i="6"/>
  <c r="D129" i="6"/>
  <c r="C129" i="6"/>
  <c r="B129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5" i="6"/>
  <c r="V125" i="6"/>
  <c r="U125" i="6"/>
  <c r="S125" i="6"/>
  <c r="N125" i="6"/>
  <c r="L125" i="6"/>
  <c r="J125" i="6"/>
  <c r="H125" i="6"/>
  <c r="E125" i="6"/>
  <c r="D125" i="6"/>
  <c r="C125" i="6"/>
  <c r="B125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V122" i="6"/>
  <c r="U122" i="6"/>
  <c r="S122" i="6"/>
  <c r="N122" i="6"/>
  <c r="L122" i="6"/>
  <c r="J122" i="6"/>
  <c r="H122" i="6"/>
  <c r="E122" i="6"/>
  <c r="D122" i="6"/>
  <c r="C122" i="6"/>
  <c r="B122" i="6"/>
  <c r="W120" i="6"/>
  <c r="V120" i="6"/>
  <c r="U120" i="6"/>
  <c r="S120" i="6"/>
  <c r="N120" i="6"/>
  <c r="L120" i="6"/>
  <c r="J120" i="6"/>
  <c r="H120" i="6"/>
  <c r="E120" i="6"/>
  <c r="D120" i="6"/>
  <c r="C120" i="6"/>
  <c r="B120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AB124" i="41"/>
  <c r="AB120" i="41"/>
  <c r="AB119" i="41"/>
  <c r="AB118" i="41"/>
  <c r="AB117" i="41"/>
  <c r="AB116" i="41"/>
  <c r="AB112" i="41"/>
  <c r="AB111" i="41"/>
  <c r="AB103" i="41"/>
  <c r="W112" i="6"/>
  <c r="V112" i="6"/>
  <c r="U112" i="6"/>
  <c r="S112" i="6"/>
  <c r="N112" i="6"/>
  <c r="L112" i="6"/>
  <c r="J112" i="6"/>
  <c r="H112" i="6"/>
  <c r="E112" i="6"/>
  <c r="D112" i="6"/>
  <c r="C112" i="6"/>
  <c r="B112" i="6"/>
  <c r="V110" i="6"/>
  <c r="U110" i="6"/>
  <c r="S110" i="6"/>
  <c r="N110" i="6"/>
  <c r="L110" i="6"/>
  <c r="J110" i="6"/>
  <c r="H110" i="6"/>
  <c r="E110" i="6"/>
  <c r="D110" i="6"/>
  <c r="C110" i="6"/>
  <c r="B110" i="6"/>
  <c r="W108" i="6"/>
  <c r="V108" i="6"/>
  <c r="U108" i="6"/>
  <c r="S108" i="6"/>
  <c r="N108" i="6"/>
  <c r="L108" i="6"/>
  <c r="J108" i="6"/>
  <c r="H108" i="6"/>
  <c r="E108" i="6"/>
  <c r="D108" i="6"/>
  <c r="C108" i="6"/>
  <c r="B108" i="6"/>
  <c r="W106" i="6"/>
  <c r="V106" i="6"/>
  <c r="U106" i="6"/>
  <c r="S106" i="6"/>
  <c r="N106" i="6"/>
  <c r="L106" i="6"/>
  <c r="J106" i="6"/>
  <c r="H106" i="6"/>
  <c r="E106" i="6"/>
  <c r="D106" i="6"/>
  <c r="C106" i="6"/>
  <c r="B106" i="6"/>
  <c r="W105" i="6"/>
  <c r="V105" i="6"/>
  <c r="U105" i="6"/>
  <c r="S105" i="6"/>
  <c r="N105" i="6"/>
  <c r="L105" i="6"/>
  <c r="J105" i="6"/>
  <c r="H105" i="6"/>
  <c r="E105" i="6"/>
  <c r="D105" i="6"/>
  <c r="C105" i="6"/>
  <c r="B105" i="6"/>
  <c r="W104" i="6"/>
  <c r="V104" i="6"/>
  <c r="U104" i="6"/>
  <c r="S104" i="6"/>
  <c r="N104" i="6"/>
  <c r="L104" i="6"/>
  <c r="J104" i="6"/>
  <c r="H104" i="6"/>
  <c r="E104" i="6"/>
  <c r="D104" i="6"/>
  <c r="C104" i="6"/>
  <c r="B104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W102" i="6"/>
  <c r="V102" i="6"/>
  <c r="U102" i="6"/>
  <c r="S102" i="6"/>
  <c r="N102" i="6"/>
  <c r="L102" i="6"/>
  <c r="J102" i="6"/>
  <c r="H102" i="6"/>
  <c r="E102" i="6"/>
  <c r="D102" i="6"/>
  <c r="C102" i="6"/>
  <c r="B102" i="6"/>
  <c r="V101" i="6"/>
  <c r="U101" i="6"/>
  <c r="S101" i="6"/>
  <c r="N101" i="6"/>
  <c r="L101" i="6"/>
  <c r="J101" i="6"/>
  <c r="H101" i="6"/>
  <c r="E101" i="6"/>
  <c r="D101" i="6"/>
  <c r="C101" i="6"/>
  <c r="B101" i="6"/>
  <c r="W99" i="6"/>
  <c r="V99" i="6"/>
  <c r="U99" i="6"/>
  <c r="S99" i="6"/>
  <c r="N99" i="6"/>
  <c r="L99" i="6"/>
  <c r="J99" i="6"/>
  <c r="H99" i="6"/>
  <c r="E99" i="6"/>
  <c r="D99" i="6"/>
  <c r="C99" i="6"/>
  <c r="B99" i="6"/>
  <c r="V96" i="6"/>
  <c r="U96" i="6"/>
  <c r="S96" i="6"/>
  <c r="N96" i="6"/>
  <c r="L96" i="6"/>
  <c r="J96" i="6"/>
  <c r="H96" i="6"/>
  <c r="E96" i="6"/>
  <c r="D96" i="6"/>
  <c r="C96" i="6"/>
  <c r="B96" i="6"/>
  <c r="W95" i="6"/>
  <c r="V95" i="6"/>
  <c r="U95" i="6"/>
  <c r="S95" i="6"/>
  <c r="N95" i="6"/>
  <c r="L95" i="6"/>
  <c r="J95" i="6"/>
  <c r="H95" i="6"/>
  <c r="E95" i="6"/>
  <c r="D95" i="6"/>
  <c r="C95" i="6"/>
  <c r="B95" i="6"/>
  <c r="W94" i="6"/>
  <c r="V94" i="6"/>
  <c r="U94" i="6"/>
  <c r="S94" i="6"/>
  <c r="N94" i="6"/>
  <c r="L94" i="6"/>
  <c r="J94" i="6"/>
  <c r="H94" i="6"/>
  <c r="E94" i="6"/>
  <c r="D94" i="6"/>
  <c r="C94" i="6"/>
  <c r="B94" i="6"/>
  <c r="W93" i="6"/>
  <c r="V93" i="6"/>
  <c r="U93" i="6"/>
  <c r="S93" i="6"/>
  <c r="N93" i="6"/>
  <c r="L93" i="6"/>
  <c r="J93" i="6"/>
  <c r="H93" i="6"/>
  <c r="E93" i="6"/>
  <c r="D93" i="6"/>
  <c r="C93" i="6"/>
  <c r="B93" i="6"/>
  <c r="AB91" i="41"/>
  <c r="AB90" i="41"/>
  <c r="AB89" i="41"/>
  <c r="AB88" i="41"/>
  <c r="AB99" i="41"/>
  <c r="AB97" i="41"/>
  <c r="W48" i="6"/>
  <c r="V48" i="6"/>
  <c r="U48" i="6"/>
  <c r="S48" i="6"/>
  <c r="N48" i="6"/>
  <c r="L48" i="6"/>
  <c r="J48" i="6"/>
  <c r="H48" i="6"/>
  <c r="E48" i="6"/>
  <c r="D48" i="6"/>
  <c r="C48" i="6"/>
  <c r="B48" i="6"/>
  <c r="W47" i="6"/>
  <c r="V47" i="6"/>
  <c r="U47" i="6"/>
  <c r="S47" i="6"/>
  <c r="N47" i="6"/>
  <c r="L47" i="6"/>
  <c r="J47" i="6"/>
  <c r="H47" i="6"/>
  <c r="E47" i="6"/>
  <c r="D47" i="6"/>
  <c r="C47" i="6"/>
  <c r="B47" i="6"/>
  <c r="W46" i="6"/>
  <c r="V46" i="6"/>
  <c r="U46" i="6"/>
  <c r="S46" i="6"/>
  <c r="N46" i="6"/>
  <c r="L46" i="6"/>
  <c r="J46" i="6"/>
  <c r="H46" i="6"/>
  <c r="E46" i="6"/>
  <c r="D46" i="6"/>
  <c r="C46" i="6"/>
  <c r="B46" i="6"/>
  <c r="W45" i="6"/>
  <c r="V45" i="6"/>
  <c r="U45" i="6"/>
  <c r="S45" i="6"/>
  <c r="N45" i="6"/>
  <c r="L45" i="6"/>
  <c r="J45" i="6"/>
  <c r="H45" i="6"/>
  <c r="E45" i="6"/>
  <c r="D45" i="6"/>
  <c r="C45" i="6"/>
  <c r="B45" i="6"/>
  <c r="V44" i="6"/>
  <c r="U44" i="6"/>
  <c r="S44" i="6"/>
  <c r="N44" i="6"/>
  <c r="L44" i="6"/>
  <c r="J44" i="6"/>
  <c r="H44" i="6"/>
  <c r="E44" i="6"/>
  <c r="D44" i="6"/>
  <c r="C44" i="6"/>
  <c r="B44" i="6"/>
  <c r="W41" i="6"/>
  <c r="V41" i="6"/>
  <c r="U41" i="6"/>
  <c r="S41" i="6"/>
  <c r="N41" i="6"/>
  <c r="L41" i="6"/>
  <c r="J41" i="6"/>
  <c r="H41" i="6"/>
  <c r="E41" i="6"/>
  <c r="D41" i="6"/>
  <c r="C41" i="6"/>
  <c r="B41" i="6"/>
  <c r="W35" i="6"/>
  <c r="V35" i="6"/>
  <c r="U35" i="6"/>
  <c r="S35" i="6"/>
  <c r="N35" i="6"/>
  <c r="L35" i="6"/>
  <c r="J35" i="6"/>
  <c r="H35" i="6"/>
  <c r="E35" i="6"/>
  <c r="D35" i="6"/>
  <c r="C35" i="6"/>
  <c r="B35" i="6"/>
  <c r="V34" i="6"/>
  <c r="U34" i="6"/>
  <c r="S34" i="6"/>
  <c r="N34" i="6"/>
  <c r="L34" i="6"/>
  <c r="J34" i="6"/>
  <c r="H34" i="6"/>
  <c r="E34" i="6"/>
  <c r="D34" i="6"/>
  <c r="C34" i="6"/>
  <c r="B34" i="6"/>
  <c r="B42" i="6"/>
  <c r="C42" i="6"/>
  <c r="D42" i="6"/>
  <c r="E42" i="6"/>
  <c r="H42" i="6"/>
  <c r="J42" i="6"/>
  <c r="L42" i="6"/>
  <c r="N42" i="6"/>
  <c r="S42" i="6"/>
  <c r="U42" i="6"/>
  <c r="V42" i="6"/>
  <c r="W42" i="6"/>
  <c r="B33" i="6"/>
  <c r="C33" i="6"/>
  <c r="D33" i="6"/>
  <c r="E33" i="6"/>
  <c r="H33" i="6"/>
  <c r="J33" i="6"/>
  <c r="L33" i="6"/>
  <c r="N33" i="6"/>
  <c r="S33" i="6"/>
  <c r="U33" i="6"/>
  <c r="V33" i="6"/>
  <c r="W33" i="6"/>
  <c r="AB33" i="41"/>
  <c r="AB32" i="41"/>
  <c r="AB31" i="41"/>
  <c r="AB22" i="41"/>
  <c r="AB21" i="41"/>
  <c r="AB394" i="41" l="1"/>
  <c r="W552" i="6"/>
  <c r="V552" i="6"/>
  <c r="U552" i="6"/>
  <c r="S552" i="6"/>
  <c r="N552" i="6"/>
  <c r="L552" i="6"/>
  <c r="J552" i="6"/>
  <c r="H552" i="6"/>
  <c r="E552" i="6"/>
  <c r="D552" i="6"/>
  <c r="C552" i="6"/>
  <c r="B552" i="6"/>
  <c r="AB516" i="41"/>
  <c r="AB539" i="41"/>
  <c r="AB459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W535" i="6" l="1"/>
  <c r="V535" i="6"/>
  <c r="U535" i="6"/>
  <c r="S535" i="6"/>
  <c r="N535" i="6"/>
  <c r="L535" i="6"/>
  <c r="J535" i="6"/>
  <c r="H535" i="6"/>
  <c r="E535" i="6"/>
  <c r="D535" i="6"/>
  <c r="C535" i="6"/>
  <c r="B535" i="6"/>
  <c r="AB508" i="41"/>
  <c r="AB477" i="41"/>
  <c r="AB242" i="41"/>
  <c r="W296" i="6"/>
  <c r="V296" i="6"/>
  <c r="U296" i="6"/>
  <c r="S296" i="6"/>
  <c r="N296" i="6"/>
  <c r="L296" i="6"/>
  <c r="J296" i="6"/>
  <c r="H296" i="6"/>
  <c r="E296" i="6"/>
  <c r="D296" i="6"/>
  <c r="C296" i="6"/>
  <c r="B296" i="6"/>
  <c r="AB360" i="41"/>
  <c r="AB283" i="41"/>
  <c r="AB522" i="41"/>
  <c r="W80" i="6"/>
  <c r="V80" i="6"/>
  <c r="U80" i="6"/>
  <c r="S80" i="6"/>
  <c r="N80" i="6"/>
  <c r="L80" i="6"/>
  <c r="J80" i="6"/>
  <c r="H80" i="6"/>
  <c r="E80" i="6"/>
  <c r="D80" i="6"/>
  <c r="C80" i="6"/>
  <c r="B80" i="6"/>
  <c r="AB67" i="41"/>
  <c r="W536" i="6" l="1"/>
  <c r="V536" i="6"/>
  <c r="U536" i="6"/>
  <c r="S536" i="6"/>
  <c r="N536" i="6"/>
  <c r="L536" i="6"/>
  <c r="J536" i="6"/>
  <c r="H536" i="6"/>
  <c r="E536" i="6"/>
  <c r="D536" i="6"/>
  <c r="C536" i="6"/>
  <c r="B536" i="6"/>
  <c r="AB523" i="41"/>
  <c r="W562" i="6"/>
  <c r="V562" i="6"/>
  <c r="U562" i="6"/>
  <c r="S562" i="6"/>
  <c r="N562" i="6"/>
  <c r="L562" i="6"/>
  <c r="J562" i="6"/>
  <c r="H562" i="6"/>
  <c r="E562" i="6"/>
  <c r="D562" i="6"/>
  <c r="C562" i="6"/>
  <c r="B562" i="6"/>
  <c r="AB549" i="41"/>
  <c r="AB269" i="41"/>
  <c r="W64" i="6"/>
  <c r="V64" i="6"/>
  <c r="U64" i="6"/>
  <c r="S64" i="6"/>
  <c r="N64" i="6"/>
  <c r="L64" i="6"/>
  <c r="J64" i="6"/>
  <c r="H64" i="6"/>
  <c r="E64" i="6"/>
  <c r="D64" i="6"/>
  <c r="C64" i="6"/>
  <c r="B64" i="6"/>
  <c r="AB182" i="41"/>
  <c r="AB51" i="41"/>
  <c r="W537" i="6" l="1"/>
  <c r="V537" i="6"/>
  <c r="U537" i="6"/>
  <c r="S537" i="6"/>
  <c r="N537" i="6"/>
  <c r="L537" i="6"/>
  <c r="J537" i="6"/>
  <c r="H537" i="6"/>
  <c r="E537" i="6"/>
  <c r="D537" i="6"/>
  <c r="C537" i="6"/>
  <c r="B537" i="6"/>
  <c r="AB524" i="41"/>
  <c r="AB506" i="41"/>
  <c r="W473" i="6"/>
  <c r="V473" i="6"/>
  <c r="U473" i="6"/>
  <c r="S473" i="6"/>
  <c r="N473" i="6"/>
  <c r="L473" i="6"/>
  <c r="J473" i="6"/>
  <c r="H473" i="6"/>
  <c r="E473" i="6"/>
  <c r="D473" i="6"/>
  <c r="C473" i="6"/>
  <c r="B473" i="6"/>
  <c r="AB460" i="41"/>
  <c r="AB457" i="41"/>
  <c r="AB428" i="41"/>
  <c r="W389" i="6"/>
  <c r="V389" i="6"/>
  <c r="U389" i="6"/>
  <c r="S389" i="6"/>
  <c r="N389" i="6"/>
  <c r="L389" i="6"/>
  <c r="J389" i="6"/>
  <c r="H389" i="6"/>
  <c r="E389" i="6"/>
  <c r="D389" i="6"/>
  <c r="C389" i="6"/>
  <c r="B389" i="6"/>
  <c r="AB376" i="41"/>
  <c r="W89" i="6"/>
  <c r="V89" i="6"/>
  <c r="U89" i="6"/>
  <c r="S89" i="6"/>
  <c r="N89" i="6"/>
  <c r="L89" i="6"/>
  <c r="J89" i="6"/>
  <c r="H89" i="6"/>
  <c r="E89" i="6"/>
  <c r="D89" i="6"/>
  <c r="C89" i="6"/>
  <c r="B89" i="6"/>
  <c r="AB76" i="41"/>
  <c r="W29" i="6"/>
  <c r="V29" i="6"/>
  <c r="U29" i="6"/>
  <c r="S29" i="6"/>
  <c r="N29" i="6"/>
  <c r="L29" i="6"/>
  <c r="J29" i="6"/>
  <c r="H29" i="6"/>
  <c r="E29" i="6"/>
  <c r="D29" i="6"/>
  <c r="C29" i="6"/>
  <c r="B29" i="6"/>
  <c r="AB16" i="41"/>
  <c r="AB517" i="41"/>
  <c r="W480" i="6"/>
  <c r="V480" i="6"/>
  <c r="U480" i="6"/>
  <c r="S480" i="6"/>
  <c r="N480" i="6"/>
  <c r="L480" i="6"/>
  <c r="J480" i="6"/>
  <c r="H480" i="6"/>
  <c r="E480" i="6"/>
  <c r="D480" i="6"/>
  <c r="C480" i="6"/>
  <c r="B480" i="6"/>
  <c r="AB467" i="41"/>
  <c r="W305" i="6"/>
  <c r="V305" i="6"/>
  <c r="U305" i="6"/>
  <c r="S305" i="6"/>
  <c r="N305" i="6"/>
  <c r="L305" i="6"/>
  <c r="J305" i="6"/>
  <c r="H305" i="6"/>
  <c r="E305" i="6"/>
  <c r="D305" i="6"/>
  <c r="C305" i="6"/>
  <c r="B305" i="6"/>
  <c r="AB292" i="41"/>
  <c r="W363" i="6"/>
  <c r="V363" i="6"/>
  <c r="U363" i="6"/>
  <c r="S363" i="6"/>
  <c r="N363" i="6"/>
  <c r="L363" i="6"/>
  <c r="J363" i="6"/>
  <c r="H363" i="6"/>
  <c r="E363" i="6"/>
  <c r="D363" i="6"/>
  <c r="C363" i="6"/>
  <c r="B363" i="6"/>
  <c r="AB350" i="41"/>
  <c r="W51" i="6"/>
  <c r="V51" i="6"/>
  <c r="U51" i="6"/>
  <c r="S51" i="6"/>
  <c r="N51" i="6"/>
  <c r="L51" i="6"/>
  <c r="J51" i="6"/>
  <c r="H51" i="6"/>
  <c r="E51" i="6"/>
  <c r="D51" i="6"/>
  <c r="C51" i="6"/>
  <c r="B51" i="6"/>
  <c r="AB38" i="41"/>
  <c r="W541" i="6"/>
  <c r="V541" i="6"/>
  <c r="U541" i="6"/>
  <c r="S541" i="6"/>
  <c r="N541" i="6"/>
  <c r="L541" i="6"/>
  <c r="J541" i="6"/>
  <c r="H541" i="6"/>
  <c r="E541" i="6"/>
  <c r="D541" i="6"/>
  <c r="C541" i="6"/>
  <c r="B541" i="6"/>
  <c r="AB528" i="41"/>
  <c r="W211" i="6"/>
  <c r="V211" i="6"/>
  <c r="U211" i="6"/>
  <c r="S211" i="6"/>
  <c r="N211" i="6"/>
  <c r="L211" i="6"/>
  <c r="J211" i="6"/>
  <c r="H211" i="6"/>
  <c r="E211" i="6"/>
  <c r="D211" i="6"/>
  <c r="C211" i="6"/>
  <c r="B211" i="6"/>
  <c r="AB198" i="41"/>
  <c r="W30" i="6"/>
  <c r="V30" i="6"/>
  <c r="U30" i="6"/>
  <c r="S30" i="6"/>
  <c r="N30" i="6"/>
  <c r="L30" i="6"/>
  <c r="J30" i="6"/>
  <c r="H30" i="6"/>
  <c r="E30" i="6"/>
  <c r="D30" i="6"/>
  <c r="C30" i="6"/>
  <c r="B30" i="6"/>
  <c r="AB17" i="41"/>
  <c r="AB505" i="41"/>
  <c r="AB474" i="41"/>
  <c r="W534" i="6"/>
  <c r="V534" i="6"/>
  <c r="U534" i="6"/>
  <c r="S534" i="6"/>
  <c r="N534" i="6"/>
  <c r="L534" i="6"/>
  <c r="J534" i="6"/>
  <c r="H534" i="6"/>
  <c r="E534" i="6"/>
  <c r="D534" i="6"/>
  <c r="C534" i="6"/>
  <c r="B534" i="6"/>
  <c r="AB521" i="41"/>
  <c r="AB504" i="41"/>
  <c r="AB531" i="41"/>
  <c r="AB427" i="41"/>
  <c r="AB410" i="41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23" i="6"/>
  <c r="V323" i="6"/>
  <c r="U323" i="6"/>
  <c r="S323" i="6"/>
  <c r="N323" i="6"/>
  <c r="L323" i="6"/>
  <c r="J323" i="6"/>
  <c r="H323" i="6"/>
  <c r="E323" i="6"/>
  <c r="D323" i="6"/>
  <c r="C323" i="6"/>
  <c r="B323" i="6"/>
  <c r="W322" i="6"/>
  <c r="V322" i="6"/>
  <c r="U322" i="6"/>
  <c r="S322" i="6"/>
  <c r="N322" i="6"/>
  <c r="L322" i="6"/>
  <c r="J322" i="6"/>
  <c r="H322" i="6"/>
  <c r="E322" i="6"/>
  <c r="D322" i="6"/>
  <c r="C322" i="6"/>
  <c r="B322" i="6"/>
  <c r="W321" i="6"/>
  <c r="V321" i="6"/>
  <c r="U321" i="6"/>
  <c r="S321" i="6"/>
  <c r="N321" i="6"/>
  <c r="L321" i="6"/>
  <c r="J321" i="6"/>
  <c r="H321" i="6"/>
  <c r="E321" i="6"/>
  <c r="D321" i="6"/>
  <c r="C321" i="6"/>
  <c r="B321" i="6"/>
  <c r="W319" i="6"/>
  <c r="V319" i="6"/>
  <c r="U319" i="6"/>
  <c r="S319" i="6"/>
  <c r="N319" i="6"/>
  <c r="L319" i="6"/>
  <c r="J319" i="6"/>
  <c r="H319" i="6"/>
  <c r="E319" i="6"/>
  <c r="D319" i="6"/>
  <c r="C319" i="6"/>
  <c r="B319" i="6"/>
  <c r="AB306" i="41"/>
  <c r="AB452" i="41" l="1"/>
  <c r="AB434" i="41" l="1"/>
  <c r="AB421" i="41" l="1"/>
  <c r="W82" i="6" l="1"/>
  <c r="V82" i="6"/>
  <c r="U82" i="6"/>
  <c r="S82" i="6"/>
  <c r="N82" i="6"/>
  <c r="L82" i="6"/>
  <c r="J82" i="6"/>
  <c r="H82" i="6"/>
  <c r="E82" i="6"/>
  <c r="D82" i="6"/>
  <c r="C82" i="6"/>
  <c r="B82" i="6"/>
  <c r="AB69" i="41"/>
  <c r="AB544" i="41"/>
  <c r="W135" i="6" l="1"/>
  <c r="V135" i="6"/>
  <c r="U135" i="6"/>
  <c r="S135" i="6"/>
  <c r="N135" i="6"/>
  <c r="L135" i="6"/>
  <c r="J135" i="6"/>
  <c r="H135" i="6"/>
  <c r="E135" i="6"/>
  <c r="D135" i="6"/>
  <c r="C135" i="6"/>
  <c r="B135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W512" i="6"/>
  <c r="V512" i="6"/>
  <c r="U512" i="6"/>
  <c r="S512" i="6"/>
  <c r="N512" i="6"/>
  <c r="L512" i="6"/>
  <c r="J512" i="6"/>
  <c r="H512" i="6"/>
  <c r="E512" i="6"/>
  <c r="D512" i="6"/>
  <c r="C512" i="6"/>
  <c r="B51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AB398" i="41"/>
  <c r="AB397" i="41"/>
  <c r="AB396" i="41"/>
  <c r="AB392" i="41"/>
  <c r="AB391" i="41"/>
  <c r="AB389" i="41"/>
  <c r="AB388" i="41"/>
  <c r="AB387" i="41"/>
  <c r="AB386" i="41"/>
  <c r="AB514" i="41"/>
  <c r="AB513" i="41"/>
  <c r="AB512" i="41"/>
  <c r="AB511" i="41"/>
  <c r="AB510" i="41"/>
  <c r="AB507" i="41"/>
  <c r="AB502" i="41"/>
  <c r="AB498" i="41"/>
  <c r="AB554" i="41"/>
  <c r="AB551" i="41"/>
  <c r="AB548" i="41"/>
  <c r="AB546" i="41"/>
  <c r="AB543" i="41"/>
  <c r="AB533" i="41"/>
  <c r="AB532" i="41"/>
  <c r="AB472" i="41"/>
  <c r="AB471" i="41"/>
  <c r="AB473" i="41"/>
  <c r="AB470" i="41"/>
  <c r="AB453" i="41"/>
  <c r="AB450" i="41"/>
  <c r="AB451" i="41"/>
  <c r="AB443" i="41"/>
  <c r="AB442" i="41"/>
  <c r="AB441" i="41"/>
  <c r="W436" i="6"/>
  <c r="V436" i="6"/>
  <c r="U436" i="6"/>
  <c r="S436" i="6"/>
  <c r="N436" i="6"/>
  <c r="L436" i="6"/>
  <c r="J436" i="6"/>
  <c r="H436" i="6"/>
  <c r="E436" i="6"/>
  <c r="D436" i="6"/>
  <c r="C436" i="6"/>
  <c r="B436" i="6"/>
  <c r="AB431" i="41"/>
  <c r="AB432" i="41"/>
  <c r="AB435" i="41"/>
  <c r="AB423" i="41"/>
  <c r="AB416" i="41"/>
  <c r="V271" i="6"/>
  <c r="U271" i="6"/>
  <c r="S271" i="6"/>
  <c r="N271" i="6"/>
  <c r="L271" i="6"/>
  <c r="J271" i="6"/>
  <c r="H271" i="6"/>
  <c r="E271" i="6"/>
  <c r="D271" i="6"/>
  <c r="C271" i="6"/>
  <c r="B271" i="6"/>
  <c r="W270" i="6"/>
  <c r="V270" i="6"/>
  <c r="U270" i="6"/>
  <c r="S270" i="6"/>
  <c r="N270" i="6"/>
  <c r="L270" i="6"/>
  <c r="J270" i="6"/>
  <c r="H270" i="6"/>
  <c r="E270" i="6"/>
  <c r="D270" i="6"/>
  <c r="C270" i="6"/>
  <c r="B270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47" i="6"/>
  <c r="V247" i="6"/>
  <c r="U247" i="6"/>
  <c r="S247" i="6"/>
  <c r="N247" i="6"/>
  <c r="L247" i="6"/>
  <c r="J247" i="6"/>
  <c r="H247" i="6"/>
  <c r="E247" i="6"/>
  <c r="D247" i="6"/>
  <c r="C247" i="6"/>
  <c r="B247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AB257" i="41"/>
  <c r="AB256" i="41"/>
  <c r="AB251" i="41"/>
  <c r="AB243" i="41"/>
  <c r="AB234" i="41"/>
  <c r="W243" i="6"/>
  <c r="V243" i="6"/>
  <c r="U243" i="6"/>
  <c r="S243" i="6"/>
  <c r="N243" i="6"/>
  <c r="L243" i="6"/>
  <c r="J243" i="6"/>
  <c r="H243" i="6"/>
  <c r="E243" i="6"/>
  <c r="D243" i="6"/>
  <c r="C243" i="6"/>
  <c r="B243" i="6"/>
  <c r="V241" i="6"/>
  <c r="U241" i="6"/>
  <c r="S241" i="6"/>
  <c r="N241" i="6"/>
  <c r="L241" i="6"/>
  <c r="J241" i="6"/>
  <c r="H241" i="6"/>
  <c r="E241" i="6"/>
  <c r="D241" i="6"/>
  <c r="C241" i="6"/>
  <c r="B241" i="6"/>
  <c r="W207" i="6"/>
  <c r="V207" i="6"/>
  <c r="U207" i="6"/>
  <c r="S207" i="6"/>
  <c r="N207" i="6"/>
  <c r="L207" i="6"/>
  <c r="J207" i="6"/>
  <c r="H207" i="6"/>
  <c r="E207" i="6"/>
  <c r="D207" i="6"/>
  <c r="C207" i="6"/>
  <c r="B207" i="6"/>
  <c r="AB230" i="41"/>
  <c r="AB228" i="41"/>
  <c r="AB218" i="41"/>
  <c r="AB217" i="41"/>
  <c r="AB207" i="41"/>
  <c r="AB203" i="41"/>
  <c r="AB202" i="41"/>
  <c r="AB201" i="41"/>
  <c r="AB200" i="41"/>
  <c r="W320" i="6"/>
  <c r="V320" i="6"/>
  <c r="U320" i="6"/>
  <c r="S320" i="6"/>
  <c r="N320" i="6"/>
  <c r="L320" i="6"/>
  <c r="J320" i="6"/>
  <c r="H320" i="6"/>
  <c r="E320" i="6"/>
  <c r="D320" i="6"/>
  <c r="C320" i="6"/>
  <c r="B320" i="6"/>
  <c r="AB315" i="41"/>
  <c r="AB318" i="41"/>
  <c r="AB314" i="41"/>
  <c r="AB310" i="41"/>
  <c r="AB309" i="41"/>
  <c r="AB308" i="41"/>
  <c r="AB304" i="41"/>
  <c r="AB303" i="41"/>
  <c r="AB302" i="41"/>
  <c r="AB301" i="41"/>
  <c r="AB300" i="41"/>
  <c r="AB368" i="41"/>
  <c r="AB367" i="41"/>
  <c r="AB366" i="41"/>
  <c r="W300" i="6"/>
  <c r="V300" i="6"/>
  <c r="U300" i="6"/>
  <c r="S300" i="6"/>
  <c r="N300" i="6"/>
  <c r="L300" i="6"/>
  <c r="J300" i="6"/>
  <c r="H300" i="6"/>
  <c r="E300" i="6"/>
  <c r="D300" i="6"/>
  <c r="C300" i="6"/>
  <c r="B300" i="6"/>
  <c r="W298" i="6"/>
  <c r="V298" i="6"/>
  <c r="U298" i="6"/>
  <c r="S298" i="6"/>
  <c r="N298" i="6"/>
  <c r="L298" i="6"/>
  <c r="J298" i="6"/>
  <c r="H298" i="6"/>
  <c r="E298" i="6"/>
  <c r="D298" i="6"/>
  <c r="C298" i="6"/>
  <c r="B298" i="6"/>
  <c r="W295" i="6"/>
  <c r="V295" i="6"/>
  <c r="U295" i="6"/>
  <c r="S295" i="6"/>
  <c r="N295" i="6"/>
  <c r="L295" i="6"/>
  <c r="J295" i="6"/>
  <c r="H295" i="6"/>
  <c r="E295" i="6"/>
  <c r="D295" i="6"/>
  <c r="C295" i="6"/>
  <c r="B295" i="6"/>
  <c r="AB287" i="41"/>
  <c r="AB285" i="41"/>
  <c r="AB282" i="41"/>
  <c r="W360" i="6"/>
  <c r="V360" i="6"/>
  <c r="U360" i="6"/>
  <c r="S360" i="6"/>
  <c r="N360" i="6"/>
  <c r="L360" i="6"/>
  <c r="J360" i="6"/>
  <c r="H360" i="6"/>
  <c r="E360" i="6"/>
  <c r="D360" i="6"/>
  <c r="C360" i="6"/>
  <c r="B360" i="6"/>
  <c r="W359" i="6"/>
  <c r="V359" i="6"/>
  <c r="U359" i="6"/>
  <c r="S359" i="6"/>
  <c r="N359" i="6"/>
  <c r="L359" i="6"/>
  <c r="J359" i="6"/>
  <c r="H359" i="6"/>
  <c r="E359" i="6"/>
  <c r="D359" i="6"/>
  <c r="C359" i="6"/>
  <c r="B359" i="6"/>
  <c r="W358" i="6"/>
  <c r="V358" i="6"/>
  <c r="U358" i="6"/>
  <c r="S358" i="6"/>
  <c r="N358" i="6"/>
  <c r="L358" i="6"/>
  <c r="J358" i="6"/>
  <c r="H358" i="6"/>
  <c r="E358" i="6"/>
  <c r="D358" i="6"/>
  <c r="C358" i="6"/>
  <c r="B358" i="6"/>
  <c r="W357" i="6"/>
  <c r="V357" i="6"/>
  <c r="U357" i="6"/>
  <c r="S357" i="6"/>
  <c r="N357" i="6"/>
  <c r="L357" i="6"/>
  <c r="J357" i="6"/>
  <c r="H357" i="6"/>
  <c r="E357" i="6"/>
  <c r="D357" i="6"/>
  <c r="C357" i="6"/>
  <c r="B357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51" i="6"/>
  <c r="V351" i="6"/>
  <c r="U351" i="6"/>
  <c r="S351" i="6"/>
  <c r="N351" i="6"/>
  <c r="L351" i="6"/>
  <c r="J351" i="6"/>
  <c r="H351" i="6"/>
  <c r="E351" i="6"/>
  <c r="D351" i="6"/>
  <c r="C351" i="6"/>
  <c r="B351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8" i="6"/>
  <c r="V348" i="6"/>
  <c r="U348" i="6"/>
  <c r="S348" i="6"/>
  <c r="N348" i="6"/>
  <c r="L348" i="6"/>
  <c r="J348" i="6"/>
  <c r="H348" i="6"/>
  <c r="E348" i="6"/>
  <c r="D348" i="6"/>
  <c r="C348" i="6"/>
  <c r="B348" i="6"/>
  <c r="AB343" i="41"/>
  <c r="AB344" i="41"/>
  <c r="AB345" i="41"/>
  <c r="AB347" i="41"/>
  <c r="AB346" i="41"/>
  <c r="AB341" i="41"/>
  <c r="AB339" i="41"/>
  <c r="AB338" i="41"/>
  <c r="AB337" i="41"/>
  <c r="AB336" i="41"/>
  <c r="AB335" i="41"/>
  <c r="AB331" i="41"/>
  <c r="AB330" i="41"/>
  <c r="AB329" i="41"/>
  <c r="AB328" i="41"/>
  <c r="AB327" i="41"/>
  <c r="W146" i="6"/>
  <c r="V146" i="6"/>
  <c r="U146" i="6"/>
  <c r="S146" i="6"/>
  <c r="N146" i="6"/>
  <c r="L146" i="6"/>
  <c r="J146" i="6"/>
  <c r="H146" i="6"/>
  <c r="E146" i="6"/>
  <c r="D146" i="6"/>
  <c r="C146" i="6"/>
  <c r="B146" i="6"/>
  <c r="AB155" i="41"/>
  <c r="AB151" i="41"/>
  <c r="AB150" i="41"/>
  <c r="AB149" i="41"/>
  <c r="AB147" i="41"/>
  <c r="AB146" i="41"/>
  <c r="AB145" i="41"/>
  <c r="AB144" i="41"/>
  <c r="AB122" i="41"/>
  <c r="AB121" i="41"/>
  <c r="AB96" i="41"/>
  <c r="W199" i="6"/>
  <c r="V199" i="6"/>
  <c r="U199" i="6"/>
  <c r="S199" i="6"/>
  <c r="N199" i="6"/>
  <c r="L199" i="6"/>
  <c r="J199" i="6"/>
  <c r="H199" i="6"/>
  <c r="E199" i="6"/>
  <c r="D199" i="6"/>
  <c r="C199" i="6"/>
  <c r="B199" i="6"/>
  <c r="AB188" i="41"/>
  <c r="AB191" i="41"/>
  <c r="AB189" i="41"/>
  <c r="AB187" i="41"/>
  <c r="AB186" i="41"/>
  <c r="AB402" i="41" l="1"/>
  <c r="W53" i="6"/>
  <c r="V53" i="6"/>
  <c r="U53" i="6"/>
  <c r="S53" i="6"/>
  <c r="N53" i="6"/>
  <c r="L53" i="6"/>
  <c r="J53" i="6"/>
  <c r="H53" i="6"/>
  <c r="E53" i="6"/>
  <c r="D53" i="6"/>
  <c r="C53" i="6"/>
  <c r="B53" i="6"/>
  <c r="AB40" i="41"/>
  <c r="AB28" i="41"/>
  <c r="AB515" i="41" l="1"/>
  <c r="AB133" i="41"/>
  <c r="AB134" i="41"/>
  <c r="AB139" i="41"/>
  <c r="B100" i="6"/>
  <c r="C100" i="6"/>
  <c r="D100" i="6"/>
  <c r="E100" i="6"/>
  <c r="H100" i="6"/>
  <c r="J100" i="6"/>
  <c r="L100" i="6"/>
  <c r="N100" i="6"/>
  <c r="S100" i="6"/>
  <c r="U100" i="6"/>
  <c r="V100" i="6"/>
  <c r="W100" i="6"/>
  <c r="W90" i="6"/>
  <c r="V90" i="6"/>
  <c r="U90" i="6"/>
  <c r="S90" i="6"/>
  <c r="N90" i="6"/>
  <c r="L90" i="6"/>
  <c r="J90" i="6"/>
  <c r="H90" i="6"/>
  <c r="E90" i="6"/>
  <c r="D90" i="6"/>
  <c r="C90" i="6"/>
  <c r="B90" i="6"/>
  <c r="AB86" i="41"/>
  <c r="AB77" i="41"/>
  <c r="W291" i="6"/>
  <c r="V291" i="6"/>
  <c r="U291" i="6"/>
  <c r="S291" i="6"/>
  <c r="N291" i="6"/>
  <c r="L291" i="6"/>
  <c r="J291" i="6"/>
  <c r="H291" i="6"/>
  <c r="E291" i="6"/>
  <c r="D291" i="6"/>
  <c r="C291" i="6"/>
  <c r="B291" i="6"/>
  <c r="W289" i="6"/>
  <c r="V289" i="6"/>
  <c r="U289" i="6"/>
  <c r="S289" i="6"/>
  <c r="N289" i="6"/>
  <c r="L289" i="6"/>
  <c r="J289" i="6"/>
  <c r="H289" i="6"/>
  <c r="E289" i="6"/>
  <c r="D289" i="6"/>
  <c r="C289" i="6"/>
  <c r="B289" i="6"/>
  <c r="W287" i="6"/>
  <c r="V287" i="6"/>
  <c r="U287" i="6"/>
  <c r="S287" i="6"/>
  <c r="N287" i="6"/>
  <c r="L287" i="6"/>
  <c r="J287" i="6"/>
  <c r="H287" i="6"/>
  <c r="E287" i="6"/>
  <c r="D287" i="6"/>
  <c r="C287" i="6"/>
  <c r="B287" i="6"/>
  <c r="W286" i="6"/>
  <c r="V286" i="6"/>
  <c r="U286" i="6"/>
  <c r="S286" i="6"/>
  <c r="N286" i="6"/>
  <c r="L286" i="6"/>
  <c r="J286" i="6"/>
  <c r="H286" i="6"/>
  <c r="E286" i="6"/>
  <c r="D286" i="6"/>
  <c r="C286" i="6"/>
  <c r="B286" i="6"/>
  <c r="W479" i="6" l="1"/>
  <c r="V479" i="6"/>
  <c r="U479" i="6"/>
  <c r="S479" i="6"/>
  <c r="N479" i="6"/>
  <c r="L479" i="6"/>
  <c r="J479" i="6"/>
  <c r="H479" i="6"/>
  <c r="E479" i="6"/>
  <c r="D479" i="6"/>
  <c r="C479" i="6"/>
  <c r="B479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AB466" i="41"/>
  <c r="AB104" i="41"/>
  <c r="W540" i="6"/>
  <c r="V540" i="6"/>
  <c r="U540" i="6"/>
  <c r="S540" i="6"/>
  <c r="N540" i="6"/>
  <c r="L540" i="6"/>
  <c r="J540" i="6"/>
  <c r="H540" i="6"/>
  <c r="E540" i="6"/>
  <c r="D540" i="6"/>
  <c r="C540" i="6"/>
  <c r="B540" i="6"/>
  <c r="AB527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W62" i="6"/>
  <c r="V62" i="6"/>
  <c r="U62" i="6"/>
  <c r="S62" i="6"/>
  <c r="N62" i="6"/>
  <c r="L62" i="6"/>
  <c r="J62" i="6"/>
  <c r="H62" i="6"/>
  <c r="E62" i="6"/>
  <c r="D62" i="6"/>
  <c r="C62" i="6"/>
  <c r="B62" i="6"/>
  <c r="W66" i="6"/>
  <c r="V66" i="6"/>
  <c r="U66" i="6"/>
  <c r="S66" i="6"/>
  <c r="N66" i="6"/>
  <c r="L66" i="6"/>
  <c r="J66" i="6"/>
  <c r="H66" i="6"/>
  <c r="E66" i="6"/>
  <c r="D66" i="6"/>
  <c r="C66" i="6"/>
  <c r="B66" i="6"/>
  <c r="AB49" i="41"/>
  <c r="AB53" i="41"/>
  <c r="AB92" i="41"/>
  <c r="W268" i="6" l="1"/>
  <c r="V268" i="6"/>
  <c r="U268" i="6"/>
  <c r="S268" i="6"/>
  <c r="N268" i="6"/>
  <c r="L268" i="6"/>
  <c r="J268" i="6"/>
  <c r="H268" i="6"/>
  <c r="E268" i="6"/>
  <c r="D268" i="6"/>
  <c r="C268" i="6"/>
  <c r="B268" i="6"/>
  <c r="AB255" i="41"/>
  <c r="AB180" i="41"/>
  <c r="AB278" i="41"/>
  <c r="AB480" i="41"/>
  <c r="AB499" i="41"/>
  <c r="W396" i="6"/>
  <c r="V396" i="6"/>
  <c r="U396" i="6"/>
  <c r="S396" i="6"/>
  <c r="N396" i="6"/>
  <c r="L396" i="6"/>
  <c r="J396" i="6"/>
  <c r="H396" i="6"/>
  <c r="E396" i="6"/>
  <c r="D396" i="6"/>
  <c r="C396" i="6"/>
  <c r="B396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533" i="6"/>
  <c r="V533" i="6"/>
  <c r="U533" i="6"/>
  <c r="S533" i="6"/>
  <c r="N533" i="6"/>
  <c r="L533" i="6"/>
  <c r="J533" i="6"/>
  <c r="H533" i="6"/>
  <c r="E533" i="6"/>
  <c r="D533" i="6"/>
  <c r="C533" i="6"/>
  <c r="B533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W390" i="6"/>
  <c r="V390" i="6"/>
  <c r="U390" i="6"/>
  <c r="S390" i="6"/>
  <c r="N390" i="6"/>
  <c r="L390" i="6"/>
  <c r="J390" i="6"/>
  <c r="H390" i="6"/>
  <c r="E390" i="6"/>
  <c r="D390" i="6"/>
  <c r="C390" i="6"/>
  <c r="B390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87" i="6"/>
  <c r="V387" i="6"/>
  <c r="U387" i="6"/>
  <c r="S387" i="6"/>
  <c r="N387" i="6"/>
  <c r="L387" i="6"/>
  <c r="J387" i="6"/>
  <c r="H387" i="6"/>
  <c r="E387" i="6"/>
  <c r="D387" i="6"/>
  <c r="C387" i="6"/>
  <c r="B387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6" i="6"/>
  <c r="V366" i="6"/>
  <c r="U366" i="6"/>
  <c r="S366" i="6"/>
  <c r="N366" i="6"/>
  <c r="L366" i="6"/>
  <c r="J366" i="6"/>
  <c r="H366" i="6"/>
  <c r="E366" i="6"/>
  <c r="D366" i="6"/>
  <c r="C366" i="6"/>
  <c r="B366" i="6"/>
  <c r="W173" i="6"/>
  <c r="V173" i="6"/>
  <c r="U173" i="6"/>
  <c r="S173" i="6"/>
  <c r="N173" i="6"/>
  <c r="L173" i="6"/>
  <c r="J173" i="6"/>
  <c r="H173" i="6"/>
  <c r="E173" i="6"/>
  <c r="D173" i="6"/>
  <c r="C173" i="6"/>
  <c r="B173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481" i="6"/>
  <c r="V481" i="6"/>
  <c r="U481" i="6"/>
  <c r="S481" i="6"/>
  <c r="N481" i="6"/>
  <c r="L481" i="6"/>
  <c r="J481" i="6"/>
  <c r="H481" i="6"/>
  <c r="E481" i="6"/>
  <c r="D481" i="6"/>
  <c r="C481" i="6"/>
  <c r="B481" i="6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115" i="6"/>
  <c r="V115" i="6"/>
  <c r="U115" i="6"/>
  <c r="S115" i="6"/>
  <c r="N115" i="6"/>
  <c r="L115" i="6"/>
  <c r="J115" i="6"/>
  <c r="H115" i="6"/>
  <c r="E115" i="6"/>
  <c r="D115" i="6"/>
  <c r="C115" i="6"/>
  <c r="B115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W85" i="6"/>
  <c r="V85" i="6"/>
  <c r="U85" i="6"/>
  <c r="S85" i="6"/>
  <c r="N85" i="6"/>
  <c r="L85" i="6"/>
  <c r="J85" i="6"/>
  <c r="H85" i="6"/>
  <c r="E85" i="6"/>
  <c r="D85" i="6"/>
  <c r="C85" i="6"/>
  <c r="B85" i="6"/>
  <c r="W83" i="6"/>
  <c r="V83" i="6"/>
  <c r="U83" i="6"/>
  <c r="S83" i="6"/>
  <c r="N83" i="6"/>
  <c r="L83" i="6"/>
  <c r="J83" i="6"/>
  <c r="H83" i="6"/>
  <c r="E83" i="6"/>
  <c r="D83" i="6"/>
  <c r="C83" i="6"/>
  <c r="B83" i="6"/>
  <c r="W81" i="6"/>
  <c r="V81" i="6"/>
  <c r="U81" i="6"/>
  <c r="S81" i="6"/>
  <c r="N81" i="6"/>
  <c r="L81" i="6"/>
  <c r="J81" i="6"/>
  <c r="H81" i="6"/>
  <c r="E81" i="6"/>
  <c r="D81" i="6"/>
  <c r="C81" i="6"/>
  <c r="B81" i="6"/>
  <c r="W77" i="6"/>
  <c r="V77" i="6"/>
  <c r="U77" i="6"/>
  <c r="S77" i="6"/>
  <c r="N77" i="6"/>
  <c r="L77" i="6"/>
  <c r="J77" i="6"/>
  <c r="H77" i="6"/>
  <c r="E77" i="6"/>
  <c r="D77" i="6"/>
  <c r="C77" i="6"/>
  <c r="B77" i="6"/>
  <c r="W75" i="6"/>
  <c r="V75" i="6"/>
  <c r="U75" i="6"/>
  <c r="S75" i="6"/>
  <c r="N75" i="6"/>
  <c r="L75" i="6"/>
  <c r="J75" i="6"/>
  <c r="H75" i="6"/>
  <c r="E75" i="6"/>
  <c r="D75" i="6"/>
  <c r="C75" i="6"/>
  <c r="B75" i="6"/>
  <c r="V74" i="6"/>
  <c r="U74" i="6"/>
  <c r="S74" i="6"/>
  <c r="N74" i="6"/>
  <c r="L74" i="6"/>
  <c r="J74" i="6"/>
  <c r="H74" i="6"/>
  <c r="E74" i="6"/>
  <c r="D74" i="6"/>
  <c r="C74" i="6"/>
  <c r="B74" i="6"/>
  <c r="V73" i="6"/>
  <c r="U73" i="6"/>
  <c r="S73" i="6"/>
  <c r="N73" i="6"/>
  <c r="L73" i="6"/>
  <c r="J73" i="6"/>
  <c r="H73" i="6"/>
  <c r="E73" i="6"/>
  <c r="D73" i="6"/>
  <c r="C73" i="6"/>
  <c r="B73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W69" i="6"/>
  <c r="V69" i="6"/>
  <c r="U69" i="6"/>
  <c r="S69" i="6"/>
  <c r="N69" i="6"/>
  <c r="L69" i="6"/>
  <c r="J69" i="6"/>
  <c r="H69" i="6"/>
  <c r="E69" i="6"/>
  <c r="D69" i="6"/>
  <c r="C69" i="6"/>
  <c r="B69" i="6"/>
  <c r="W68" i="6"/>
  <c r="V68" i="6"/>
  <c r="U68" i="6"/>
  <c r="S68" i="6"/>
  <c r="N68" i="6"/>
  <c r="L68" i="6"/>
  <c r="J68" i="6"/>
  <c r="H68" i="6"/>
  <c r="E68" i="6"/>
  <c r="D68" i="6"/>
  <c r="C68" i="6"/>
  <c r="B68" i="6"/>
  <c r="W67" i="6"/>
  <c r="V67" i="6"/>
  <c r="U67" i="6"/>
  <c r="S67" i="6"/>
  <c r="N67" i="6"/>
  <c r="L67" i="6"/>
  <c r="J67" i="6"/>
  <c r="H67" i="6"/>
  <c r="E67" i="6"/>
  <c r="D67" i="6"/>
  <c r="C67" i="6"/>
  <c r="B67" i="6"/>
  <c r="V61" i="6"/>
  <c r="U61" i="6"/>
  <c r="S61" i="6"/>
  <c r="N61" i="6"/>
  <c r="L61" i="6"/>
  <c r="J61" i="6"/>
  <c r="H61" i="6"/>
  <c r="E61" i="6"/>
  <c r="D61" i="6"/>
  <c r="C61" i="6"/>
  <c r="B61" i="6"/>
  <c r="W60" i="6"/>
  <c r="V60" i="6"/>
  <c r="U60" i="6"/>
  <c r="S60" i="6"/>
  <c r="N60" i="6"/>
  <c r="L60" i="6"/>
  <c r="J60" i="6"/>
  <c r="H60" i="6"/>
  <c r="E60" i="6"/>
  <c r="D60" i="6"/>
  <c r="C60" i="6"/>
  <c r="B60" i="6"/>
  <c r="W57" i="6"/>
  <c r="V57" i="6"/>
  <c r="U57" i="6"/>
  <c r="S57" i="6"/>
  <c r="N57" i="6"/>
  <c r="L57" i="6"/>
  <c r="J57" i="6"/>
  <c r="H57" i="6"/>
  <c r="E57" i="6"/>
  <c r="D57" i="6"/>
  <c r="C57" i="6"/>
  <c r="B57" i="6"/>
  <c r="W56" i="6"/>
  <c r="V56" i="6"/>
  <c r="U56" i="6"/>
  <c r="S56" i="6"/>
  <c r="N56" i="6"/>
  <c r="L56" i="6"/>
  <c r="J56" i="6"/>
  <c r="H56" i="6"/>
  <c r="E56" i="6"/>
  <c r="D56" i="6"/>
  <c r="C56" i="6"/>
  <c r="B56" i="6"/>
  <c r="V55" i="6"/>
  <c r="U55" i="6"/>
  <c r="S55" i="6"/>
  <c r="N55" i="6"/>
  <c r="L55" i="6"/>
  <c r="J55" i="6"/>
  <c r="H55" i="6"/>
  <c r="E55" i="6"/>
  <c r="D55" i="6"/>
  <c r="C55" i="6"/>
  <c r="B55" i="6"/>
  <c r="W52" i="6"/>
  <c r="V52" i="6"/>
  <c r="U52" i="6"/>
  <c r="S52" i="6"/>
  <c r="N52" i="6"/>
  <c r="L52" i="6"/>
  <c r="J52" i="6"/>
  <c r="H52" i="6"/>
  <c r="E52" i="6"/>
  <c r="D52" i="6"/>
  <c r="C52" i="6"/>
  <c r="B52" i="6"/>
  <c r="AB127" i="41"/>
  <c r="AB400" i="41"/>
  <c r="AB383" i="41"/>
  <c r="AB381" i="41"/>
  <c r="AB430" i="41"/>
  <c r="AB418" i="41"/>
  <c r="AB417" i="41"/>
  <c r="AB413" i="41"/>
  <c r="AB408" i="41"/>
  <c r="AB323" i="41"/>
  <c r="AB322" i="41"/>
  <c r="AB520" i="41"/>
  <c r="AB518" i="41"/>
  <c r="AB509" i="41"/>
  <c r="AB503" i="41"/>
  <c r="AB500" i="41"/>
  <c r="AB553" i="41"/>
  <c r="AB534" i="41"/>
  <c r="AB529" i="41"/>
  <c r="AB458" i="41"/>
  <c r="AB456" i="41"/>
  <c r="AB455" i="41"/>
  <c r="AB449" i="41"/>
  <c r="AB439" i="41"/>
  <c r="AB438" i="41"/>
  <c r="AB276" i="41"/>
  <c r="AB274" i="41"/>
  <c r="AB273" i="41"/>
  <c r="AB270" i="41"/>
  <c r="AB268" i="41"/>
  <c r="AB267" i="41"/>
  <c r="AB266" i="41"/>
  <c r="AB265" i="41"/>
  <c r="AB262" i="41"/>
  <c r="AB261" i="41"/>
  <c r="AB378" i="41"/>
  <c r="AB377" i="41"/>
  <c r="AB375" i="41"/>
  <c r="AB374" i="41"/>
  <c r="AB371" i="41"/>
  <c r="AB370" i="41"/>
  <c r="AB361" i="41"/>
  <c r="AB359" i="41"/>
  <c r="AB357" i="41"/>
  <c r="AB356" i="41"/>
  <c r="AB355" i="41"/>
  <c r="AB354" i="41"/>
  <c r="AB353" i="41"/>
  <c r="AB160" i="41"/>
  <c r="AB157" i="41"/>
  <c r="AB141" i="41"/>
  <c r="AB140" i="41"/>
  <c r="AB132" i="41"/>
  <c r="AB129" i="41"/>
  <c r="AB495" i="41"/>
  <c r="AB485" i="41"/>
  <c r="AB484" i="41"/>
  <c r="AB483" i="41"/>
  <c r="AB479" i="41"/>
  <c r="AB475" i="41"/>
  <c r="AB468" i="41"/>
  <c r="AB307" i="41"/>
  <c r="AB312" i="41"/>
  <c r="AB311" i="41"/>
  <c r="AB294" i="41"/>
  <c r="AB293" i="41"/>
  <c r="AB290" i="41"/>
  <c r="AB114" i="41"/>
  <c r="AB102" i="41"/>
  <c r="AB184" i="41"/>
  <c r="AB183" i="41"/>
  <c r="AB178" i="41"/>
  <c r="AB175" i="41"/>
  <c r="AB173" i="41"/>
  <c r="AB172" i="41"/>
  <c r="AB171" i="41"/>
  <c r="AB170" i="41"/>
  <c r="AB166" i="41"/>
  <c r="AB164" i="41"/>
  <c r="AB220" i="41"/>
  <c r="AB210" i="41"/>
  <c r="AB221" i="41"/>
  <c r="AB206" i="41"/>
  <c r="AB194" i="41"/>
  <c r="AB258" i="41"/>
  <c r="AB253" i="41"/>
  <c r="AB239" i="41"/>
  <c r="AB240" i="41"/>
  <c r="AB237" i="41"/>
  <c r="AB236" i="41"/>
  <c r="AB233" i="41"/>
  <c r="AB72" i="41"/>
  <c r="AB70" i="41"/>
  <c r="AB68" i="41"/>
  <c r="AB64" i="41"/>
  <c r="AB62" i="41"/>
  <c r="AB61" i="41"/>
  <c r="AB60" i="41"/>
  <c r="AB59" i="41"/>
  <c r="AB58" i="41"/>
  <c r="AB56" i="41"/>
  <c r="AB55" i="41"/>
  <c r="AB54" i="41"/>
  <c r="AB48" i="41"/>
  <c r="AB47" i="41"/>
  <c r="AB44" i="41"/>
  <c r="AB43" i="41"/>
  <c r="AB42" i="41"/>
  <c r="AB39" i="41"/>
  <c r="AB79" i="41"/>
  <c r="AB80" i="41"/>
  <c r="AB81" i="41"/>
  <c r="AB82" i="41"/>
  <c r="AB83" i="41"/>
  <c r="W26" i="6"/>
  <c r="V26" i="6"/>
  <c r="U26" i="6"/>
  <c r="S26" i="6"/>
  <c r="N26" i="6"/>
  <c r="L26" i="6"/>
  <c r="J26" i="6"/>
  <c r="H26" i="6"/>
  <c r="E26" i="6"/>
  <c r="D26" i="6"/>
  <c r="C26" i="6"/>
  <c r="B26" i="6"/>
  <c r="W25" i="6"/>
  <c r="V25" i="6"/>
  <c r="U25" i="6"/>
  <c r="S25" i="6"/>
  <c r="N25" i="6"/>
  <c r="L25" i="6"/>
  <c r="J25" i="6"/>
  <c r="H25" i="6"/>
  <c r="E25" i="6"/>
  <c r="D25" i="6"/>
  <c r="C25" i="6"/>
  <c r="B25" i="6"/>
  <c r="W398" i="6" l="1"/>
  <c r="V398" i="6"/>
  <c r="U398" i="6"/>
  <c r="S398" i="6"/>
  <c r="N398" i="6"/>
  <c r="L398" i="6"/>
  <c r="J398" i="6"/>
  <c r="H398" i="6"/>
  <c r="E398" i="6"/>
  <c r="D398" i="6"/>
  <c r="C398" i="6"/>
  <c r="B398" i="6"/>
  <c r="AB385" i="41"/>
  <c r="AB35" i="41"/>
  <c r="AB20" i="41" l="1"/>
  <c r="B87" i="6" l="1"/>
  <c r="W414" i="6" l="1"/>
  <c r="V414" i="6"/>
  <c r="U414" i="6"/>
  <c r="S414" i="6"/>
  <c r="N414" i="6"/>
  <c r="L414" i="6"/>
  <c r="J414" i="6"/>
  <c r="H414" i="6"/>
  <c r="E414" i="6"/>
  <c r="D414" i="6"/>
  <c r="C414" i="6"/>
  <c r="B414" i="6"/>
  <c r="AB401" i="41"/>
  <c r="W118" i="6"/>
  <c r="V118" i="6"/>
  <c r="U118" i="6"/>
  <c r="S118" i="6"/>
  <c r="N118" i="6"/>
  <c r="L118" i="6"/>
  <c r="J118" i="6"/>
  <c r="H118" i="6"/>
  <c r="E118" i="6"/>
  <c r="D118" i="6"/>
  <c r="C118" i="6"/>
  <c r="B118" i="6"/>
  <c r="AB105" i="41"/>
  <c r="AB29" i="41"/>
  <c r="W92" i="6" l="1"/>
  <c r="V92" i="6"/>
  <c r="U92" i="6"/>
  <c r="S92" i="6"/>
  <c r="N92" i="6"/>
  <c r="L92" i="6"/>
  <c r="J92" i="6"/>
  <c r="H92" i="6"/>
  <c r="E92" i="6"/>
  <c r="D92" i="6"/>
  <c r="C92" i="6"/>
  <c r="B92" i="6"/>
  <c r="AB95" i="41" l="1"/>
  <c r="W21" i="6" l="1"/>
  <c r="V21" i="6"/>
  <c r="U21" i="6"/>
  <c r="S21" i="6"/>
  <c r="N21" i="6"/>
  <c r="L21" i="6"/>
  <c r="J21" i="6"/>
  <c r="H21" i="6"/>
  <c r="E21" i="6"/>
  <c r="D21" i="6"/>
  <c r="C21" i="6"/>
  <c r="B21" i="6"/>
  <c r="AB8" i="41"/>
  <c r="AB362" i="41" l="1"/>
  <c r="W424" i="6"/>
  <c r="V424" i="6"/>
  <c r="U424" i="6"/>
  <c r="S424" i="6"/>
  <c r="N424" i="6"/>
  <c r="L424" i="6"/>
  <c r="J424" i="6"/>
  <c r="H424" i="6"/>
  <c r="E424" i="6"/>
  <c r="D424" i="6"/>
  <c r="C424" i="6"/>
  <c r="B424" i="6"/>
  <c r="AB411" i="41"/>
  <c r="V78" i="6" l="1"/>
  <c r="U78" i="6"/>
  <c r="S78" i="6"/>
  <c r="N78" i="6"/>
  <c r="L78" i="6"/>
  <c r="J78" i="6"/>
  <c r="H78" i="6"/>
  <c r="E78" i="6"/>
  <c r="D78" i="6"/>
  <c r="C78" i="6"/>
  <c r="B78" i="6"/>
  <c r="AB65" i="41"/>
  <c r="W453" i="6" l="1"/>
  <c r="V453" i="6"/>
  <c r="U453" i="6"/>
  <c r="S453" i="6"/>
  <c r="N453" i="6"/>
  <c r="L453" i="6"/>
  <c r="J453" i="6"/>
  <c r="H453" i="6"/>
  <c r="E453" i="6"/>
  <c r="D453" i="6"/>
  <c r="C453" i="6"/>
  <c r="B453" i="6"/>
  <c r="AB440" i="41"/>
  <c r="W128" i="6" l="1"/>
  <c r="V128" i="6"/>
  <c r="U128" i="6"/>
  <c r="S128" i="6"/>
  <c r="N128" i="6"/>
  <c r="L128" i="6"/>
  <c r="J128" i="6"/>
  <c r="H128" i="6"/>
  <c r="E128" i="6"/>
  <c r="D128" i="6"/>
  <c r="C128" i="6"/>
  <c r="B128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W156" i="6"/>
  <c r="V156" i="6"/>
  <c r="U156" i="6"/>
  <c r="S156" i="6"/>
  <c r="N156" i="6"/>
  <c r="L156" i="6"/>
  <c r="J156" i="6"/>
  <c r="H156" i="6"/>
  <c r="E156" i="6"/>
  <c r="D156" i="6"/>
  <c r="C156" i="6"/>
  <c r="B156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AB181" i="41" l="1"/>
  <c r="W248" i="6"/>
  <c r="V248" i="6"/>
  <c r="U248" i="6"/>
  <c r="S248" i="6"/>
  <c r="N248" i="6"/>
  <c r="L248" i="6"/>
  <c r="J248" i="6"/>
  <c r="H248" i="6"/>
  <c r="E248" i="6"/>
  <c r="D248" i="6"/>
  <c r="C248" i="6"/>
  <c r="B248" i="6"/>
  <c r="W23" i="6"/>
  <c r="V23" i="6"/>
  <c r="U23" i="6"/>
  <c r="S23" i="6"/>
  <c r="N23" i="6"/>
  <c r="L23" i="6"/>
  <c r="J23" i="6"/>
  <c r="H23" i="6"/>
  <c r="E23" i="6"/>
  <c r="D23" i="6"/>
  <c r="C23" i="6"/>
  <c r="B23" i="6"/>
  <c r="B20" i="6"/>
  <c r="C20" i="6"/>
  <c r="D20" i="6"/>
  <c r="E20" i="6"/>
  <c r="H20" i="6"/>
  <c r="J20" i="6"/>
  <c r="L20" i="6"/>
  <c r="N20" i="6"/>
  <c r="S20" i="6"/>
  <c r="U20" i="6"/>
  <c r="V20" i="6"/>
  <c r="W20" i="6"/>
  <c r="AB351" i="41"/>
  <c r="AB352" i="41"/>
  <c r="AB373" i="41"/>
  <c r="AB115" i="41" l="1"/>
  <c r="W273" i="6" l="1"/>
  <c r="V273" i="6"/>
  <c r="U273" i="6"/>
  <c r="S273" i="6"/>
  <c r="N273" i="6"/>
  <c r="L273" i="6"/>
  <c r="J273" i="6"/>
  <c r="H273" i="6"/>
  <c r="E273" i="6"/>
  <c r="D273" i="6"/>
  <c r="C273" i="6"/>
  <c r="B273" i="6"/>
  <c r="AB235" i="41"/>
  <c r="W539" i="6"/>
  <c r="V539" i="6"/>
  <c r="U539" i="6"/>
  <c r="S539" i="6"/>
  <c r="N539" i="6"/>
  <c r="L539" i="6"/>
  <c r="J539" i="6"/>
  <c r="H539" i="6"/>
  <c r="E539" i="6"/>
  <c r="D539" i="6"/>
  <c r="C539" i="6"/>
  <c r="B539" i="6"/>
  <c r="AB526" i="41"/>
  <c r="W326" i="6" l="1"/>
  <c r="V326" i="6"/>
  <c r="U326" i="6"/>
  <c r="S326" i="6"/>
  <c r="N326" i="6"/>
  <c r="L326" i="6"/>
  <c r="J326" i="6"/>
  <c r="H326" i="6"/>
  <c r="E326" i="6"/>
  <c r="D326" i="6"/>
  <c r="C326" i="6"/>
  <c r="B326" i="6"/>
  <c r="AB313" i="41"/>
  <c r="W88" i="6" l="1"/>
  <c r="V88" i="6"/>
  <c r="U88" i="6"/>
  <c r="S88" i="6"/>
  <c r="N88" i="6"/>
  <c r="L88" i="6"/>
  <c r="J88" i="6"/>
  <c r="H88" i="6"/>
  <c r="E88" i="6"/>
  <c r="D88" i="6"/>
  <c r="C88" i="6"/>
  <c r="B88" i="6"/>
  <c r="AB461" i="41"/>
  <c r="AB13" i="41"/>
  <c r="AB143" i="41" l="1"/>
  <c r="AB136" i="41"/>
  <c r="W478" i="6"/>
  <c r="V478" i="6"/>
  <c r="U478" i="6"/>
  <c r="S478" i="6"/>
  <c r="N478" i="6"/>
  <c r="L478" i="6"/>
  <c r="J478" i="6"/>
  <c r="H478" i="6"/>
  <c r="E478" i="6"/>
  <c r="D478" i="6"/>
  <c r="C478" i="6"/>
  <c r="B478" i="6"/>
  <c r="AB482" i="41"/>
  <c r="AB469" i="41"/>
  <c r="AB465" i="41"/>
  <c r="W245" i="6"/>
  <c r="V245" i="6"/>
  <c r="U245" i="6"/>
  <c r="S245" i="6"/>
  <c r="N245" i="6"/>
  <c r="L245" i="6"/>
  <c r="J245" i="6"/>
  <c r="H245" i="6"/>
  <c r="E245" i="6"/>
  <c r="D245" i="6"/>
  <c r="C245" i="6"/>
  <c r="B245" i="6"/>
  <c r="AB260" i="41"/>
  <c r="AB264" i="41"/>
  <c r="V54" i="6"/>
  <c r="U54" i="6"/>
  <c r="S54" i="6"/>
  <c r="N54" i="6"/>
  <c r="L54" i="6"/>
  <c r="J54" i="6"/>
  <c r="H54" i="6"/>
  <c r="E54" i="6"/>
  <c r="D54" i="6"/>
  <c r="C54" i="6"/>
  <c r="B54" i="6"/>
  <c r="AB41" i="41"/>
  <c r="C504" i="6" l="1"/>
  <c r="W356" i="6"/>
  <c r="V356" i="6"/>
  <c r="U356" i="6"/>
  <c r="S356" i="6"/>
  <c r="N356" i="6"/>
  <c r="L356" i="6"/>
  <c r="J356" i="6"/>
  <c r="H356" i="6"/>
  <c r="E356" i="6"/>
  <c r="D356" i="6"/>
  <c r="C356" i="6"/>
  <c r="B356" i="6"/>
  <c r="C347" i="6"/>
  <c r="C337" i="6"/>
  <c r="C333" i="6"/>
  <c r="C532" i="6"/>
  <c r="C514" i="6"/>
  <c r="W514" i="6"/>
  <c r="V514" i="6"/>
  <c r="U514" i="6"/>
  <c r="S514" i="6"/>
  <c r="N514" i="6"/>
  <c r="L514" i="6"/>
  <c r="J514" i="6"/>
  <c r="H514" i="6"/>
  <c r="E514" i="6"/>
  <c r="D514" i="6"/>
  <c r="B514" i="6"/>
  <c r="C510" i="6"/>
  <c r="C543" i="6"/>
  <c r="C169" i="6" l="1"/>
  <c r="C141" i="6"/>
  <c r="C109" i="6"/>
  <c r="C87" i="6"/>
  <c r="C114" i="6"/>
  <c r="C294" i="6"/>
  <c r="C444" i="6"/>
  <c r="C420" i="6"/>
  <c r="C212" i="6"/>
  <c r="C206" i="6"/>
  <c r="C386" i="6"/>
  <c r="C375" i="6"/>
  <c r="C365" i="6"/>
  <c r="C50" i="6"/>
  <c r="C408" i="6"/>
  <c r="C393" i="6"/>
  <c r="C450" i="6"/>
  <c r="AB501" i="41"/>
  <c r="AB87" i="41"/>
  <c r="C175" i="6"/>
  <c r="C318" i="6"/>
  <c r="C302" i="6"/>
  <c r="AB10" i="41"/>
  <c r="C22" i="6"/>
  <c r="C16" i="6"/>
  <c r="AB464" i="41" l="1"/>
  <c r="B244" i="6" l="1"/>
  <c r="W444" i="6" l="1"/>
  <c r="V444" i="6"/>
  <c r="U444" i="6"/>
  <c r="S444" i="6"/>
  <c r="N444" i="6"/>
  <c r="L444" i="6"/>
  <c r="J444" i="6"/>
  <c r="H444" i="6"/>
  <c r="E444" i="6"/>
  <c r="D444" i="6"/>
  <c r="B444" i="6"/>
  <c r="AB93" i="41" l="1"/>
  <c r="AB12" i="41"/>
  <c r="AB75" i="41"/>
  <c r="AB100" i="41" l="1"/>
  <c r="G40" i="8" l="1"/>
  <c r="C28" i="8"/>
  <c r="G43" i="8" l="1"/>
  <c r="W532" i="6" l="1"/>
  <c r="V532" i="6"/>
  <c r="U532" i="6"/>
  <c r="S532" i="6"/>
  <c r="N532" i="6"/>
  <c r="L532" i="6"/>
  <c r="J532" i="6"/>
  <c r="H532" i="6"/>
  <c r="E532" i="6"/>
  <c r="D532" i="6"/>
  <c r="B532" i="6"/>
  <c r="AB519" i="41"/>
  <c r="W386" i="6" l="1"/>
  <c r="V386" i="6"/>
  <c r="U386" i="6"/>
  <c r="S386" i="6"/>
  <c r="N386" i="6"/>
  <c r="L386" i="6"/>
  <c r="J386" i="6"/>
  <c r="H386" i="6"/>
  <c r="E386" i="6"/>
  <c r="D386" i="6"/>
  <c r="B386" i="6"/>
  <c r="V375" i="6"/>
  <c r="U375" i="6"/>
  <c r="S375" i="6"/>
  <c r="N375" i="6"/>
  <c r="L375" i="6"/>
  <c r="J375" i="6"/>
  <c r="H375" i="6"/>
  <c r="E375" i="6"/>
  <c r="D375" i="6"/>
  <c r="B375" i="6"/>
  <c r="W22" i="6" l="1"/>
  <c r="V22" i="6"/>
  <c r="U22" i="6"/>
  <c r="S22" i="6"/>
  <c r="N22" i="6"/>
  <c r="L22" i="6"/>
  <c r="J22" i="6"/>
  <c r="H22" i="6"/>
  <c r="E22" i="6"/>
  <c r="D22" i="6"/>
  <c r="B22" i="6"/>
  <c r="AB73" i="41" l="1"/>
  <c r="AB74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50" i="6"/>
  <c r="D16" i="6"/>
  <c r="C1" i="39"/>
  <c r="D1" i="39"/>
  <c r="C7" i="39"/>
  <c r="D7" i="39"/>
  <c r="D393" i="6"/>
  <c r="D408" i="6"/>
  <c r="D302" i="6"/>
  <c r="D318" i="6"/>
  <c r="D175" i="6"/>
  <c r="D141" i="6"/>
  <c r="D169" i="6"/>
  <c r="D87" i="6"/>
  <c r="D109" i="6"/>
  <c r="D420" i="6"/>
  <c r="D114" i="6"/>
  <c r="D365" i="6"/>
  <c r="D333" i="6"/>
  <c r="D337" i="6"/>
  <c r="D347" i="6"/>
  <c r="D294" i="6"/>
  <c r="D450" i="6"/>
  <c r="D510" i="6"/>
  <c r="C2" i="39"/>
  <c r="D2" i="39"/>
  <c r="D9" i="39"/>
  <c r="C9" i="39"/>
  <c r="D4" i="39"/>
  <c r="C4" i="39"/>
  <c r="H318" i="6"/>
  <c r="S318" i="6"/>
  <c r="V318" i="6"/>
  <c r="J318" i="6"/>
  <c r="L318" i="6"/>
  <c r="N318" i="6"/>
  <c r="U318" i="6"/>
  <c r="D3" i="39"/>
  <c r="C3" i="39"/>
  <c r="K22" i="21"/>
  <c r="K28" i="21"/>
  <c r="S24" i="21"/>
  <c r="C6" i="39"/>
  <c r="D6" i="39"/>
  <c r="C5" i="39"/>
  <c r="D5" i="39"/>
  <c r="W543" i="6"/>
  <c r="V543" i="6"/>
  <c r="U543" i="6"/>
  <c r="S543" i="6"/>
  <c r="N543" i="6"/>
  <c r="L543" i="6"/>
  <c r="J543" i="6"/>
  <c r="H543" i="6"/>
  <c r="E543" i="6"/>
  <c r="D543" i="6"/>
  <c r="B543" i="6"/>
  <c r="B538" i="6" s="1"/>
  <c r="AB34" i="41"/>
  <c r="C49" i="8" s="1"/>
  <c r="G42" i="8"/>
  <c r="D504" i="6"/>
  <c r="D206" i="6"/>
  <c r="D212" i="6"/>
  <c r="AB3" i="41"/>
  <c r="AB7" i="41"/>
  <c r="AB305" i="41"/>
  <c r="G29" i="8" s="1"/>
  <c r="G10" i="8"/>
  <c r="K40" i="8"/>
  <c r="K46" i="8"/>
  <c r="W109" i="6"/>
  <c r="I10" i="6"/>
  <c r="W504" i="6"/>
  <c r="V504" i="6"/>
  <c r="U504" i="6"/>
  <c r="S504" i="6"/>
  <c r="N504" i="6"/>
  <c r="L504" i="6"/>
  <c r="J504" i="6"/>
  <c r="H504" i="6"/>
  <c r="E504" i="6"/>
  <c r="B504" i="6"/>
  <c r="B477" i="6" s="1"/>
  <c r="AB491" i="41"/>
  <c r="K14" i="8" s="1"/>
  <c r="V294" i="6"/>
  <c r="U294" i="6"/>
  <c r="S294" i="6"/>
  <c r="N294" i="6"/>
  <c r="L294" i="6"/>
  <c r="J294" i="6"/>
  <c r="H294" i="6"/>
  <c r="E294" i="6"/>
  <c r="B294" i="6"/>
  <c r="AB281" i="41"/>
  <c r="AB9" i="41"/>
  <c r="C6" i="8" s="1"/>
  <c r="B114" i="6"/>
  <c r="V114" i="6"/>
  <c r="U114" i="6"/>
  <c r="S114" i="6"/>
  <c r="N114" i="6"/>
  <c r="L114" i="6"/>
  <c r="J114" i="6"/>
  <c r="H114" i="6"/>
  <c r="E114" i="6"/>
  <c r="AB101" i="41"/>
  <c r="V109" i="6"/>
  <c r="U109" i="6"/>
  <c r="S109" i="6"/>
  <c r="N109" i="6"/>
  <c r="L109" i="6"/>
  <c r="J109" i="6"/>
  <c r="H109" i="6"/>
  <c r="E109" i="6"/>
  <c r="B109" i="6"/>
  <c r="AB530" i="41"/>
  <c r="B318" i="6"/>
  <c r="E318" i="6"/>
  <c r="G44" i="8"/>
  <c r="V206" i="6"/>
  <c r="U206" i="6"/>
  <c r="S206" i="6"/>
  <c r="N206" i="6"/>
  <c r="L206" i="6"/>
  <c r="J206" i="6"/>
  <c r="H206" i="6"/>
  <c r="E206" i="6"/>
  <c r="B206" i="6"/>
  <c r="AB193" i="41"/>
  <c r="B175" i="6"/>
  <c r="B365" i="6"/>
  <c r="B364" i="6" s="1"/>
  <c r="AB162" i="41"/>
  <c r="H175" i="6"/>
  <c r="W408" i="6"/>
  <c r="V408" i="6"/>
  <c r="U408" i="6"/>
  <c r="S408" i="6"/>
  <c r="N408" i="6"/>
  <c r="L408" i="6"/>
  <c r="J408" i="6"/>
  <c r="H408" i="6"/>
  <c r="E408" i="6"/>
  <c r="B408" i="6"/>
  <c r="AB395" i="41"/>
  <c r="B16" i="6"/>
  <c r="B393" i="6"/>
  <c r="B420" i="6"/>
  <c r="B141" i="6"/>
  <c r="B169" i="6"/>
  <c r="B510" i="6"/>
  <c r="B450" i="6"/>
  <c r="B302" i="6"/>
  <c r="B212" i="6"/>
  <c r="B333" i="6"/>
  <c r="B337" i="6"/>
  <c r="B347" i="6"/>
  <c r="W347" i="6"/>
  <c r="V347" i="6"/>
  <c r="U347" i="6"/>
  <c r="S347" i="6"/>
  <c r="N347" i="6"/>
  <c r="L347" i="6"/>
  <c r="J347" i="6"/>
  <c r="H347" i="6"/>
  <c r="E347" i="6"/>
  <c r="AB334" i="41"/>
  <c r="W169" i="6"/>
  <c r="W212" i="6"/>
  <c r="V212" i="6"/>
  <c r="U212" i="6"/>
  <c r="S212" i="6"/>
  <c r="N212" i="6"/>
  <c r="L212" i="6"/>
  <c r="J212" i="6"/>
  <c r="H212" i="6"/>
  <c r="E212" i="6"/>
  <c r="V87" i="6"/>
  <c r="U87" i="6"/>
  <c r="S87" i="6"/>
  <c r="N87" i="6"/>
  <c r="L87" i="6"/>
  <c r="J87" i="6"/>
  <c r="H87" i="6"/>
  <c r="E87" i="6"/>
  <c r="H393" i="6"/>
  <c r="V50" i="6"/>
  <c r="U50" i="6"/>
  <c r="S50" i="6"/>
  <c r="N50" i="6"/>
  <c r="L50" i="6"/>
  <c r="J50" i="6"/>
  <c r="H50" i="6"/>
  <c r="E50" i="6"/>
  <c r="B50" i="6"/>
  <c r="B49" i="6" s="1"/>
  <c r="V365" i="6"/>
  <c r="U365" i="6"/>
  <c r="S365" i="6"/>
  <c r="N365" i="6"/>
  <c r="L365" i="6"/>
  <c r="J365" i="6"/>
  <c r="H365" i="6"/>
  <c r="E365" i="6"/>
  <c r="W337" i="6"/>
  <c r="V337" i="6"/>
  <c r="U337" i="6"/>
  <c r="S337" i="6"/>
  <c r="N337" i="6"/>
  <c r="L337" i="6"/>
  <c r="J337" i="6"/>
  <c r="H337" i="6"/>
  <c r="E337" i="6"/>
  <c r="V393" i="6"/>
  <c r="U393" i="6"/>
  <c r="S393" i="6"/>
  <c r="N393" i="6"/>
  <c r="L393" i="6"/>
  <c r="J393" i="6"/>
  <c r="E393" i="6"/>
  <c r="E16" i="6"/>
  <c r="E169" i="6"/>
  <c r="E302" i="6"/>
  <c r="E450" i="6"/>
  <c r="E333" i="6"/>
  <c r="E510" i="6"/>
  <c r="E175" i="6"/>
  <c r="E420" i="6"/>
  <c r="V169" i="6"/>
  <c r="U169" i="6"/>
  <c r="S169" i="6"/>
  <c r="N169" i="6"/>
  <c r="L169" i="6"/>
  <c r="J169" i="6"/>
  <c r="H169" i="6"/>
  <c r="E141" i="6"/>
  <c r="H302" i="6"/>
  <c r="W302" i="6"/>
  <c r="V302" i="6"/>
  <c r="U302" i="6"/>
  <c r="S302" i="6"/>
  <c r="N302" i="6"/>
  <c r="L302" i="6"/>
  <c r="J302" i="6"/>
  <c r="W333" i="6"/>
  <c r="V333" i="6"/>
  <c r="U333" i="6"/>
  <c r="S333" i="6"/>
  <c r="N333" i="6"/>
  <c r="L333" i="6"/>
  <c r="J333" i="6"/>
  <c r="H333" i="6"/>
  <c r="S450" i="6"/>
  <c r="H141" i="6"/>
  <c r="J141" i="6"/>
  <c r="L141" i="6"/>
  <c r="N141" i="6"/>
  <c r="S141" i="6"/>
  <c r="U141" i="6"/>
  <c r="V141" i="6"/>
  <c r="H510" i="6"/>
  <c r="J510" i="6"/>
  <c r="L510" i="6"/>
  <c r="N510" i="6"/>
  <c r="S510" i="6"/>
  <c r="U510" i="6"/>
  <c r="V510" i="6"/>
  <c r="J175" i="6"/>
  <c r="L175" i="6"/>
  <c r="N175" i="6"/>
  <c r="S175" i="6"/>
  <c r="U175" i="6"/>
  <c r="V175" i="6"/>
  <c r="W450" i="6"/>
  <c r="H420" i="6"/>
  <c r="J420" i="6"/>
  <c r="L420" i="6"/>
  <c r="N420" i="6"/>
  <c r="S420" i="6"/>
  <c r="U420" i="6"/>
  <c r="V420" i="6"/>
  <c r="H450" i="6"/>
  <c r="J450" i="6"/>
  <c r="L450" i="6"/>
  <c r="N450" i="6"/>
  <c r="U450" i="6"/>
  <c r="V450" i="6"/>
  <c r="W510" i="6"/>
  <c r="W141" i="6"/>
  <c r="W420" i="6"/>
  <c r="AB320" i="41"/>
  <c r="G45" i="8"/>
  <c r="AB156" i="41"/>
  <c r="K42" i="8"/>
  <c r="C24" i="8"/>
  <c r="AB199" i="41"/>
  <c r="C44" i="8"/>
  <c r="G27" i="8"/>
  <c r="G28" i="8"/>
  <c r="AB380" i="41"/>
  <c r="C41" i="8"/>
  <c r="AB37" i="41"/>
  <c r="G41" i="8"/>
  <c r="G32" i="8"/>
  <c r="AB324" i="41"/>
  <c r="K24" i="8" s="1"/>
  <c r="AB232" i="41"/>
  <c r="K29" i="8"/>
  <c r="AB379" i="41"/>
  <c r="AB406" i="41"/>
  <c r="AB407" i="41"/>
  <c r="AB161" i="41"/>
  <c r="AB496" i="41"/>
  <c r="AB497" i="41"/>
  <c r="AB36" i="41"/>
  <c r="AB525" i="41"/>
  <c r="AB319" i="41"/>
  <c r="AB436" i="41"/>
  <c r="AB437" i="41"/>
  <c r="AB2" i="41"/>
  <c r="AB259" i="41"/>
  <c r="AB192" i="41"/>
  <c r="AB288" i="41"/>
  <c r="AB289" i="41"/>
  <c r="AB128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W318" i="6"/>
  <c r="C5" i="8" l="1"/>
  <c r="D5" i="8" s="1"/>
  <c r="K32" i="8"/>
  <c r="C25" i="8"/>
  <c r="G49" i="8"/>
  <c r="H49" i="8" s="1"/>
  <c r="K31" i="8"/>
  <c r="L31" i="8" s="1"/>
  <c r="K48" i="8"/>
  <c r="L48" i="8" s="1"/>
  <c r="B174" i="6"/>
  <c r="K47" i="8"/>
  <c r="L47" i="8" s="1"/>
  <c r="K13" i="8"/>
  <c r="L13" i="8" s="1"/>
  <c r="B301" i="6"/>
  <c r="B140" i="6"/>
  <c r="B205" i="6"/>
  <c r="B332" i="6"/>
  <c r="B272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19" i="6"/>
  <c r="C39" i="8"/>
  <c r="D39" i="8" s="1"/>
  <c r="G39" i="8"/>
  <c r="H39" i="8" s="1"/>
  <c r="B15" i="6"/>
  <c r="B86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13" i="6"/>
  <c r="H26" i="8"/>
  <c r="L23" i="8"/>
  <c r="D48" i="8"/>
  <c r="D40" i="8"/>
  <c r="L6" i="8"/>
  <c r="D23" i="8"/>
  <c r="L26" i="8"/>
  <c r="B509" i="6"/>
  <c r="D43" i="8"/>
  <c r="K39" i="8"/>
  <c r="L39" i="8" s="1"/>
  <c r="C42" i="8"/>
  <c r="D42" i="8" s="1"/>
  <c r="B449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92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4" i="6" l="1"/>
  <c r="W365" i="6"/>
  <c r="W114" i="6"/>
  <c r="W375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98" i="6" s="1"/>
  <c r="B33" i="39"/>
  <c r="W4" i="6" s="1"/>
  <c r="B41" i="39"/>
  <c r="W8" i="6" s="1"/>
  <c r="Q161" i="6" s="1"/>
  <c r="B27" i="39"/>
  <c r="Q10" i="6" s="1"/>
  <c r="Q502" i="6" s="1"/>
  <c r="B42" i="39"/>
  <c r="V9" i="6" s="1"/>
  <c r="B28" i="39"/>
  <c r="P11" i="6" s="1"/>
  <c r="B12" i="39"/>
  <c r="P3" i="6" s="1"/>
  <c r="B34" i="39"/>
  <c r="V5" i="6" s="1"/>
  <c r="B31" i="39"/>
  <c r="W3" i="6" s="1"/>
  <c r="Q371" i="6" s="1"/>
  <c r="B32" i="39"/>
  <c r="V4" i="6" s="1"/>
  <c r="B21" i="39"/>
  <c r="Q7" i="6" s="1"/>
  <c r="Q558" i="6" s="1"/>
  <c r="B46" i="39"/>
  <c r="V11" i="6" s="1"/>
  <c r="B26" i="39"/>
  <c r="P10" i="6" s="1"/>
  <c r="B20" i="39"/>
  <c r="P7" i="6" s="1"/>
  <c r="B22" i="39"/>
  <c r="P8" i="6" s="1"/>
  <c r="B43" i="39"/>
  <c r="W9" i="6" s="1"/>
  <c r="Q239" i="6" s="1"/>
  <c r="B24" i="39"/>
  <c r="P9" i="6" s="1"/>
  <c r="B38" i="39"/>
  <c r="V7" i="6" s="1"/>
  <c r="B40" i="39"/>
  <c r="V8" i="6" s="1"/>
  <c r="B17" i="39"/>
  <c r="Q5" i="6" s="1"/>
  <c r="Q70" i="6" s="1"/>
  <c r="B37" i="39"/>
  <c r="W6" i="6" s="1"/>
  <c r="B25" i="39"/>
  <c r="Q9" i="6" s="1"/>
  <c r="B13" i="39"/>
  <c r="Q3" i="6" s="1"/>
  <c r="Q31" i="6" s="1"/>
  <c r="B44" i="39"/>
  <c r="V10" i="6" s="1"/>
  <c r="B15" i="39"/>
  <c r="Q4" i="6" s="1"/>
  <c r="Q403" i="6" s="1"/>
  <c r="B30" i="39"/>
  <c r="V3" i="6" s="1"/>
  <c r="B14" i="39"/>
  <c r="P4" i="6" s="1"/>
  <c r="B16" i="39"/>
  <c r="P5" i="6" s="1"/>
  <c r="B45" i="39"/>
  <c r="W10" i="6" s="1"/>
  <c r="B39" i="39"/>
  <c r="W7" i="6" s="1"/>
  <c r="Q467" i="6" s="1"/>
  <c r="B35" i="39"/>
  <c r="W5" i="6" s="1"/>
  <c r="K14" i="21"/>
  <c r="B47" i="39"/>
  <c r="W11" i="6" s="1"/>
  <c r="Q330" i="6" s="1"/>
  <c r="B29" i="39"/>
  <c r="Q11" i="6" s="1"/>
  <c r="B23" i="39"/>
  <c r="Q8" i="6" s="1"/>
  <c r="Q107" i="6" s="1"/>
  <c r="B18" i="39"/>
  <c r="P6" i="6" s="1"/>
  <c r="B36" i="39"/>
  <c r="V6" i="6" s="1"/>
  <c r="S6" i="21"/>
  <c r="S5" i="21"/>
  <c r="Q423" i="6" l="1"/>
  <c r="Q422" i="6"/>
  <c r="Q421" i="6"/>
  <c r="P422" i="6"/>
  <c r="O421" i="6"/>
  <c r="P423" i="6"/>
  <c r="O422" i="6"/>
  <c r="P421" i="6"/>
  <c r="O423" i="6"/>
  <c r="Q433" i="6"/>
  <c r="P239" i="6"/>
  <c r="O239" i="6"/>
  <c r="P198" i="6"/>
  <c r="O198" i="6"/>
  <c r="P107" i="6"/>
  <c r="O107" i="6"/>
  <c r="P31" i="6"/>
  <c r="O31" i="6"/>
  <c r="Q24" i="6"/>
  <c r="Q28" i="6"/>
  <c r="P28" i="6"/>
  <c r="O28" i="6"/>
  <c r="P353" i="6"/>
  <c r="O353" i="6"/>
  <c r="Q362" i="6"/>
  <c r="Q353" i="6"/>
  <c r="P161" i="6"/>
  <c r="O161" i="6"/>
  <c r="P371" i="6"/>
  <c r="O371" i="6"/>
  <c r="P153" i="6"/>
  <c r="O152" i="6"/>
  <c r="W152" i="6" s="1"/>
  <c r="P149" i="6"/>
  <c r="P154" i="6"/>
  <c r="O153" i="6"/>
  <c r="P150" i="6"/>
  <c r="O149" i="6"/>
  <c r="O154" i="6"/>
  <c r="P151" i="6"/>
  <c r="O150" i="6"/>
  <c r="P152" i="6"/>
  <c r="O151" i="6"/>
  <c r="P155" i="6"/>
  <c r="O155" i="6"/>
  <c r="Q154" i="6"/>
  <c r="Q150" i="6"/>
  <c r="Q155" i="6"/>
  <c r="Q151" i="6"/>
  <c r="Q152" i="6"/>
  <c r="Q153" i="6"/>
  <c r="Q149" i="6"/>
  <c r="Q167" i="6"/>
  <c r="P330" i="6"/>
  <c r="O330" i="6"/>
  <c r="P403" i="6"/>
  <c r="O403" i="6"/>
  <c r="P467" i="6"/>
  <c r="O467" i="6"/>
  <c r="P558" i="6"/>
  <c r="O558" i="6"/>
  <c r="Q568" i="6"/>
  <c r="Q565" i="6"/>
  <c r="P565" i="6"/>
  <c r="O565" i="6"/>
  <c r="P502" i="6"/>
  <c r="O502" i="6"/>
  <c r="Q501" i="6"/>
  <c r="Q489" i="6"/>
  <c r="P489" i="6"/>
  <c r="O489" i="6"/>
  <c r="P362" i="6"/>
  <c r="O362" i="6"/>
  <c r="P203" i="6"/>
  <c r="O203" i="6"/>
  <c r="Q178" i="6"/>
  <c r="Q203" i="6"/>
  <c r="P111" i="6"/>
  <c r="O111" i="6"/>
  <c r="Q97" i="6"/>
  <c r="Q111" i="6"/>
  <c r="P70" i="6"/>
  <c r="O70" i="6"/>
  <c r="P59" i="6"/>
  <c r="O59" i="6"/>
  <c r="Q84" i="6"/>
  <c r="Q59" i="6"/>
  <c r="P24" i="6"/>
  <c r="O24" i="6"/>
  <c r="Q228" i="6"/>
  <c r="Q237" i="6"/>
  <c r="P237" i="6"/>
  <c r="O237" i="6"/>
  <c r="W237" i="6" s="1"/>
  <c r="P228" i="6"/>
  <c r="O228" i="6"/>
  <c r="P501" i="6"/>
  <c r="O501" i="6"/>
  <c r="P406" i="6"/>
  <c r="O406" i="6"/>
  <c r="Q395" i="6"/>
  <c r="Q406" i="6"/>
  <c r="P395" i="6"/>
  <c r="O395" i="6"/>
  <c r="P299" i="6"/>
  <c r="O299" i="6"/>
  <c r="Q284" i="6"/>
  <c r="Q299" i="6"/>
  <c r="P284" i="6"/>
  <c r="O284" i="6"/>
  <c r="Q267" i="6"/>
  <c r="Q265" i="6"/>
  <c r="P265" i="6"/>
  <c r="O265" i="6"/>
  <c r="Q232" i="6"/>
  <c r="Q208" i="6"/>
  <c r="P208" i="6"/>
  <c r="O208" i="6"/>
  <c r="P167" i="6"/>
  <c r="O167" i="6"/>
  <c r="P143" i="6"/>
  <c r="O143" i="6"/>
  <c r="Q144" i="6"/>
  <c r="Q143" i="6"/>
  <c r="P144" i="6"/>
  <c r="O144" i="6"/>
  <c r="P126" i="6"/>
  <c r="O126" i="6"/>
  <c r="Q123" i="6"/>
  <c r="Q126" i="6"/>
  <c r="P97" i="6"/>
  <c r="O97" i="6"/>
  <c r="P84" i="6"/>
  <c r="O84" i="6"/>
  <c r="P65" i="6"/>
  <c r="O65" i="6"/>
  <c r="Q63" i="6"/>
  <c r="Q65" i="6"/>
  <c r="P63" i="6"/>
  <c r="O63" i="6"/>
  <c r="Q38" i="6"/>
  <c r="Q40" i="6"/>
  <c r="P40" i="6"/>
  <c r="O40" i="6"/>
  <c r="P38" i="6"/>
  <c r="O38" i="6"/>
  <c r="Q36" i="6"/>
  <c r="Q37" i="6"/>
  <c r="P37" i="6"/>
  <c r="O37" i="6"/>
  <c r="P36" i="6"/>
  <c r="O36" i="6"/>
  <c r="Q17" i="6"/>
  <c r="Q19" i="6"/>
  <c r="P19" i="6"/>
  <c r="O19" i="6"/>
  <c r="P165" i="6"/>
  <c r="O165" i="6"/>
  <c r="Q171" i="6"/>
  <c r="Q165" i="6"/>
  <c r="P361" i="6"/>
  <c r="O361" i="6"/>
  <c r="Q346" i="6"/>
  <c r="Q361" i="6"/>
  <c r="Q491" i="6"/>
  <c r="Q500" i="6"/>
  <c r="P500" i="6"/>
  <c r="O500" i="6"/>
  <c r="P297" i="6"/>
  <c r="O297" i="6"/>
  <c r="Q276" i="6"/>
  <c r="Q297" i="6"/>
  <c r="P568" i="6"/>
  <c r="O568" i="6"/>
  <c r="P418" i="6"/>
  <c r="O417" i="6"/>
  <c r="O416" i="6"/>
  <c r="O418" i="6"/>
  <c r="P416" i="6"/>
  <c r="P417" i="6"/>
  <c r="Q418" i="6"/>
  <c r="Q416" i="6"/>
  <c r="Q417" i="6"/>
  <c r="Q397" i="6"/>
  <c r="P397" i="6"/>
  <c r="O397" i="6"/>
  <c r="Q382" i="6"/>
  <c r="P382" i="6"/>
  <c r="O382" i="6"/>
  <c r="P378" i="6"/>
  <c r="O378" i="6"/>
  <c r="Q385" i="6"/>
  <c r="Q378" i="6"/>
  <c r="P267" i="6"/>
  <c r="O267" i="6"/>
  <c r="P232" i="6"/>
  <c r="O232" i="6"/>
  <c r="Q218" i="6"/>
  <c r="Q217" i="6"/>
  <c r="P217" i="6"/>
  <c r="O217" i="6"/>
  <c r="P218" i="6"/>
  <c r="O218" i="6"/>
  <c r="P209" i="6"/>
  <c r="O209" i="6"/>
  <c r="Q210" i="6"/>
  <c r="Q209" i="6"/>
  <c r="P123" i="6"/>
  <c r="O123" i="6"/>
  <c r="P79" i="6"/>
  <c r="O79" i="6"/>
  <c r="Q58" i="6"/>
  <c r="Q79" i="6"/>
  <c r="P58" i="6"/>
  <c r="O58" i="6"/>
  <c r="P346" i="6"/>
  <c r="O346" i="6"/>
  <c r="P385" i="6"/>
  <c r="O385" i="6"/>
  <c r="P210" i="6"/>
  <c r="O210" i="6"/>
  <c r="P91" i="6"/>
  <c r="O91" i="6"/>
  <c r="Q98" i="6"/>
  <c r="Q91" i="6"/>
  <c r="Q242" i="6"/>
  <c r="Q235" i="6"/>
  <c r="P235" i="6"/>
  <c r="O235" i="6"/>
  <c r="P491" i="6"/>
  <c r="O491" i="6"/>
  <c r="P276" i="6"/>
  <c r="O276" i="6"/>
  <c r="P17" i="6"/>
  <c r="O17" i="6"/>
  <c r="P288" i="6"/>
  <c r="O288" i="6"/>
  <c r="Q293" i="6"/>
  <c r="Q288" i="6"/>
  <c r="P293" i="6"/>
  <c r="O293" i="6"/>
  <c r="P171" i="6"/>
  <c r="O171" i="6"/>
  <c r="P355" i="6"/>
  <c r="O355" i="6"/>
  <c r="Q345" i="6"/>
  <c r="Q355" i="6"/>
  <c r="P433" i="6"/>
  <c r="O433" i="6"/>
  <c r="P290" i="6"/>
  <c r="O290" i="6"/>
  <c r="Q292" i="6"/>
  <c r="Q290" i="6"/>
  <c r="P242" i="6"/>
  <c r="O242" i="6"/>
  <c r="Q32" i="6"/>
  <c r="Q39" i="6"/>
  <c r="P39" i="6"/>
  <c r="O39" i="6"/>
  <c r="P178" i="6"/>
  <c r="O178" i="6"/>
  <c r="Q563" i="6"/>
  <c r="Q560" i="6"/>
  <c r="P560" i="6"/>
  <c r="O560" i="6"/>
  <c r="P187" i="6"/>
  <c r="O187" i="6"/>
  <c r="Q176" i="6"/>
  <c r="Q187" i="6"/>
  <c r="P563" i="6"/>
  <c r="O563" i="6"/>
  <c r="P136" i="6"/>
  <c r="O136" i="6"/>
  <c r="Q121" i="6"/>
  <c r="Q136" i="6"/>
  <c r="Q254" i="6"/>
  <c r="Q259" i="6"/>
  <c r="P259" i="6"/>
  <c r="O259" i="6"/>
  <c r="P121" i="6"/>
  <c r="O121" i="6"/>
  <c r="Q428" i="6"/>
  <c r="Q435" i="6"/>
  <c r="P435" i="6"/>
  <c r="O435" i="6"/>
  <c r="P428" i="6"/>
  <c r="O428" i="6"/>
  <c r="P345" i="6"/>
  <c r="O345" i="6"/>
  <c r="P172" i="6"/>
  <c r="O172" i="6"/>
  <c r="Q166" i="6"/>
  <c r="Q172" i="6"/>
  <c r="P166" i="6"/>
  <c r="O166" i="6"/>
  <c r="P176" i="6"/>
  <c r="O176" i="6"/>
  <c r="Q446" i="6"/>
  <c r="Q442" i="6"/>
  <c r="P442" i="6"/>
  <c r="O442" i="6"/>
  <c r="P446" i="6"/>
  <c r="O446" i="6"/>
  <c r="Q425" i="6"/>
  <c r="Q432" i="6"/>
  <c r="P432" i="6"/>
  <c r="O432" i="6"/>
  <c r="P425" i="6"/>
  <c r="O425" i="6"/>
  <c r="P292" i="6"/>
  <c r="O292" i="6"/>
  <c r="O76" i="6"/>
  <c r="P76" i="6"/>
  <c r="Q80" i="6"/>
  <c r="Q76" i="6"/>
  <c r="P32" i="6"/>
  <c r="O32" i="6"/>
  <c r="Q43" i="6"/>
  <c r="Q18" i="6"/>
  <c r="P18" i="6"/>
  <c r="O18" i="6"/>
  <c r="Q443" i="6"/>
  <c r="Q439" i="6"/>
  <c r="Q440" i="6"/>
  <c r="Q437" i="6"/>
  <c r="Q441" i="6"/>
  <c r="Q438" i="6"/>
  <c r="P441" i="6"/>
  <c r="O440" i="6"/>
  <c r="P438" i="6"/>
  <c r="O437" i="6"/>
  <c r="P443" i="6"/>
  <c r="O441" i="6"/>
  <c r="P439" i="6"/>
  <c r="O438" i="6"/>
  <c r="O443" i="6"/>
  <c r="O439" i="6"/>
  <c r="P440" i="6"/>
  <c r="P437" i="6"/>
  <c r="Q434" i="6"/>
  <c r="Q429" i="6"/>
  <c r="Q430" i="6"/>
  <c r="Q426" i="6"/>
  <c r="Q431" i="6"/>
  <c r="Q427" i="6"/>
  <c r="P431" i="6"/>
  <c r="O430" i="6"/>
  <c r="P427" i="6"/>
  <c r="O426" i="6"/>
  <c r="P434" i="6"/>
  <c r="O431" i="6"/>
  <c r="P429" i="6"/>
  <c r="O427" i="6"/>
  <c r="O434" i="6"/>
  <c r="O429" i="6"/>
  <c r="P430" i="6"/>
  <c r="P426" i="6"/>
  <c r="P254" i="6"/>
  <c r="O254" i="6"/>
  <c r="P98" i="6"/>
  <c r="O98" i="6"/>
  <c r="P43" i="6"/>
  <c r="O43" i="6"/>
  <c r="Q566" i="6"/>
  <c r="Q564" i="6"/>
  <c r="Q567" i="6"/>
  <c r="O567" i="6"/>
  <c r="O564" i="6"/>
  <c r="P566" i="6"/>
  <c r="O566" i="6"/>
  <c r="P564" i="6"/>
  <c r="P567" i="6"/>
  <c r="Q561" i="6"/>
  <c r="Q555" i="6"/>
  <c r="Q556" i="6"/>
  <c r="Q557" i="6"/>
  <c r="Q553" i="6"/>
  <c r="Q559" i="6"/>
  <c r="Q554" i="6"/>
  <c r="P559" i="6"/>
  <c r="O557" i="6"/>
  <c r="P554" i="6"/>
  <c r="O553" i="6"/>
  <c r="P561" i="6"/>
  <c r="O559" i="6"/>
  <c r="P555" i="6"/>
  <c r="O554" i="6"/>
  <c r="P553" i="6"/>
  <c r="O561" i="6"/>
  <c r="P556" i="6"/>
  <c r="O555" i="6"/>
  <c r="P557" i="6"/>
  <c r="O556" i="6"/>
  <c r="P551" i="6"/>
  <c r="O550" i="6"/>
  <c r="P547" i="6"/>
  <c r="P544" i="6"/>
  <c r="O551" i="6"/>
  <c r="P548" i="6"/>
  <c r="O547" i="6"/>
  <c r="P545" i="6"/>
  <c r="O544" i="6"/>
  <c r="P549" i="6"/>
  <c r="O548" i="6"/>
  <c r="P546" i="6"/>
  <c r="O545" i="6"/>
  <c r="P550" i="6"/>
  <c r="O549" i="6"/>
  <c r="O546" i="6"/>
  <c r="Q548" i="6"/>
  <c r="Q545" i="6"/>
  <c r="Q549" i="6"/>
  <c r="Q546" i="6"/>
  <c r="Q550" i="6"/>
  <c r="Q551" i="6"/>
  <c r="Q547" i="6"/>
  <c r="Q544" i="6"/>
  <c r="P530" i="6"/>
  <c r="O529" i="6"/>
  <c r="P528" i="6"/>
  <c r="O527" i="6"/>
  <c r="P524" i="6"/>
  <c r="O523" i="6"/>
  <c r="P531" i="6"/>
  <c r="O530" i="6"/>
  <c r="O528" i="6"/>
  <c r="P525" i="6"/>
  <c r="O524" i="6"/>
  <c r="O531" i="6"/>
  <c r="P526" i="6"/>
  <c r="O525" i="6"/>
  <c r="P529" i="6"/>
  <c r="P527" i="6"/>
  <c r="O526" i="6"/>
  <c r="P523" i="6"/>
  <c r="Q531" i="6"/>
  <c r="Q525" i="6"/>
  <c r="Q526" i="6"/>
  <c r="Q529" i="6"/>
  <c r="Q527" i="6"/>
  <c r="Q523" i="6"/>
  <c r="Q530" i="6"/>
  <c r="Q528" i="6"/>
  <c r="Q524" i="6"/>
  <c r="Q521" i="6"/>
  <c r="Q517" i="6"/>
  <c r="Q518" i="6"/>
  <c r="Q519" i="6"/>
  <c r="Q515" i="6"/>
  <c r="Q520" i="6"/>
  <c r="Q516" i="6"/>
  <c r="P520" i="6"/>
  <c r="O519" i="6"/>
  <c r="P516" i="6"/>
  <c r="O515" i="6"/>
  <c r="P521" i="6"/>
  <c r="O520" i="6"/>
  <c r="P517" i="6"/>
  <c r="O516" i="6"/>
  <c r="O521" i="6"/>
  <c r="P518" i="6"/>
  <c r="O517" i="6"/>
  <c r="P519" i="6"/>
  <c r="O518" i="6"/>
  <c r="P515" i="6"/>
  <c r="Q507" i="6"/>
  <c r="Q505" i="6"/>
  <c r="Q508" i="6"/>
  <c r="Q506" i="6"/>
  <c r="P508" i="6"/>
  <c r="P506" i="6"/>
  <c r="O505" i="6"/>
  <c r="O508" i="6"/>
  <c r="P507" i="6"/>
  <c r="O506" i="6"/>
  <c r="O507" i="6"/>
  <c r="P505" i="6"/>
  <c r="Q503" i="6"/>
  <c r="Q495" i="6"/>
  <c r="Q494" i="6"/>
  <c r="Q496" i="6"/>
  <c r="Q499" i="6"/>
  <c r="Q497" i="6"/>
  <c r="Q492" i="6"/>
  <c r="Q498" i="6"/>
  <c r="Q493" i="6"/>
  <c r="O499" i="6"/>
  <c r="P498" i="6"/>
  <c r="O497" i="6"/>
  <c r="P493" i="6"/>
  <c r="O492" i="6"/>
  <c r="P503" i="6"/>
  <c r="O498" i="6"/>
  <c r="P495" i="6"/>
  <c r="O493" i="6"/>
  <c r="O503" i="6"/>
  <c r="P494" i="6"/>
  <c r="P496" i="6"/>
  <c r="O495" i="6"/>
  <c r="P499" i="6"/>
  <c r="O494" i="6"/>
  <c r="P497" i="6"/>
  <c r="O496" i="6"/>
  <c r="P492" i="6"/>
  <c r="Q490" i="6"/>
  <c r="Q485" i="6"/>
  <c r="Q483" i="6"/>
  <c r="Q487" i="6"/>
  <c r="Q486" i="6"/>
  <c r="Q488" i="6"/>
  <c r="Q484" i="6"/>
  <c r="P488" i="6"/>
  <c r="O487" i="6"/>
  <c r="P484" i="6"/>
  <c r="O486" i="6"/>
  <c r="P487" i="6"/>
  <c r="P490" i="6"/>
  <c r="O488" i="6"/>
  <c r="P485" i="6"/>
  <c r="O484" i="6"/>
  <c r="P486" i="6"/>
  <c r="O483" i="6"/>
  <c r="O490" i="6"/>
  <c r="O485" i="6"/>
  <c r="P483" i="6"/>
  <c r="Q475" i="6"/>
  <c r="Q476" i="6"/>
  <c r="Q474" i="6"/>
  <c r="O474" i="6"/>
  <c r="P475" i="6"/>
  <c r="P476" i="6"/>
  <c r="O475" i="6"/>
  <c r="O476" i="6"/>
  <c r="P474" i="6"/>
  <c r="Q472" i="6"/>
  <c r="Q468" i="6"/>
  <c r="Q463" i="6"/>
  <c r="Q459" i="6"/>
  <c r="Q455" i="6"/>
  <c r="Q454" i="6"/>
  <c r="Q469" i="6"/>
  <c r="Q465" i="6"/>
  <c r="Q460" i="6"/>
  <c r="Q456" i="6"/>
  <c r="Q471" i="6"/>
  <c r="Q464" i="6"/>
  <c r="Q470" i="6"/>
  <c r="Q466" i="6"/>
  <c r="Q462" i="6"/>
  <c r="Q457" i="6"/>
  <c r="Q461" i="6"/>
  <c r="Q458" i="6"/>
  <c r="P471" i="6"/>
  <c r="O470" i="6"/>
  <c r="O466" i="6"/>
  <c r="P464" i="6"/>
  <c r="O462" i="6"/>
  <c r="P461" i="6"/>
  <c r="P458" i="6"/>
  <c r="O457" i="6"/>
  <c r="P454" i="6"/>
  <c r="O469" i="6"/>
  <c r="P466" i="6"/>
  <c r="P462" i="6"/>
  <c r="P457" i="6"/>
  <c r="P472" i="6"/>
  <c r="O471" i="6"/>
  <c r="P468" i="6"/>
  <c r="P463" i="6"/>
  <c r="O464" i="6"/>
  <c r="O461" i="6"/>
  <c r="P459" i="6"/>
  <c r="O458" i="6"/>
  <c r="P455" i="6"/>
  <c r="O454" i="6"/>
  <c r="O465" i="6"/>
  <c r="O460" i="6"/>
  <c r="O456" i="6"/>
  <c r="O472" i="6"/>
  <c r="P469" i="6"/>
  <c r="O468" i="6"/>
  <c r="P465" i="6"/>
  <c r="O463" i="6"/>
  <c r="P460" i="6"/>
  <c r="O459" i="6"/>
  <c r="P456" i="6"/>
  <c r="O455" i="6"/>
  <c r="P470" i="6"/>
  <c r="Q447" i="6"/>
  <c r="Q448" i="6"/>
  <c r="Q445" i="6"/>
  <c r="O448" i="6"/>
  <c r="O445" i="6"/>
  <c r="P448" i="6"/>
  <c r="P445" i="6"/>
  <c r="P447" i="6"/>
  <c r="O447" i="6"/>
  <c r="P415" i="6"/>
  <c r="O415" i="6"/>
  <c r="Q415" i="6"/>
  <c r="P413" i="6"/>
  <c r="P411" i="6"/>
  <c r="O410" i="6"/>
  <c r="O413" i="6"/>
  <c r="O411" i="6"/>
  <c r="P412" i="6"/>
  <c r="P409" i="6"/>
  <c r="O412" i="6"/>
  <c r="P410" i="6"/>
  <c r="O409" i="6"/>
  <c r="Q412" i="6"/>
  <c r="Q409" i="6"/>
  <c r="Q410" i="6"/>
  <c r="Q413" i="6"/>
  <c r="Q411" i="6"/>
  <c r="P405" i="6"/>
  <c r="O404" i="6"/>
  <c r="P400" i="6"/>
  <c r="O399" i="6"/>
  <c r="P407" i="6"/>
  <c r="O405" i="6"/>
  <c r="P401" i="6"/>
  <c r="O400" i="6"/>
  <c r="P404" i="6"/>
  <c r="O402" i="6"/>
  <c r="P399" i="6"/>
  <c r="O407" i="6"/>
  <c r="P402" i="6"/>
  <c r="O401" i="6"/>
  <c r="Q407" i="6"/>
  <c r="Q401" i="6"/>
  <c r="Q402" i="6"/>
  <c r="Q405" i="6"/>
  <c r="Q400" i="6"/>
  <c r="Q404" i="6"/>
  <c r="Q399" i="6"/>
  <c r="P383" i="6"/>
  <c r="P379" i="6"/>
  <c r="P376" i="6"/>
  <c r="P384" i="6"/>
  <c r="O383" i="6"/>
  <c r="P380" i="6"/>
  <c r="O379" i="6"/>
  <c r="P377" i="6"/>
  <c r="O376" i="6"/>
  <c r="O384" i="6"/>
  <c r="P381" i="6"/>
  <c r="O380" i="6"/>
  <c r="O377" i="6"/>
  <c r="O381" i="6"/>
  <c r="Q384" i="6"/>
  <c r="Q380" i="6"/>
  <c r="Q377" i="6"/>
  <c r="Q379" i="6"/>
  <c r="Q376" i="6"/>
  <c r="Q381" i="6"/>
  <c r="Q383" i="6"/>
  <c r="P374" i="6"/>
  <c r="O373" i="6"/>
  <c r="P370" i="6"/>
  <c r="O369" i="6"/>
  <c r="O374" i="6"/>
  <c r="O370" i="6"/>
  <c r="P372" i="6"/>
  <c r="P373" i="6"/>
  <c r="O372" i="6"/>
  <c r="P369" i="6"/>
  <c r="Q372" i="6"/>
  <c r="Q373" i="6"/>
  <c r="Q369" i="6"/>
  <c r="Q374" i="6"/>
  <c r="Q370" i="6"/>
  <c r="Q334" i="6"/>
  <c r="Q341" i="6"/>
  <c r="Q338" i="6"/>
  <c r="Q340" i="6"/>
  <c r="Q342" i="6"/>
  <c r="Q339" i="6"/>
  <c r="Q343" i="6"/>
  <c r="Q344" i="6"/>
  <c r="P344" i="6"/>
  <c r="O343" i="6"/>
  <c r="P340" i="6"/>
  <c r="P343" i="6"/>
  <c r="O342" i="6"/>
  <c r="O344" i="6"/>
  <c r="P341" i="6"/>
  <c r="O340" i="6"/>
  <c r="P338" i="6"/>
  <c r="P342" i="6"/>
  <c r="O341" i="6"/>
  <c r="P339" i="6"/>
  <c r="O338" i="6"/>
  <c r="O339" i="6"/>
  <c r="P327" i="6"/>
  <c r="P328" i="6"/>
  <c r="O327" i="6"/>
  <c r="P329" i="6"/>
  <c r="O328" i="6"/>
  <c r="O331" i="6"/>
  <c r="P331" i="6"/>
  <c r="O329" i="6"/>
  <c r="P334" i="6"/>
  <c r="O334" i="6"/>
  <c r="Q329" i="6"/>
  <c r="Q331" i="6"/>
  <c r="Q327" i="6"/>
  <c r="Q328" i="6"/>
  <c r="P316" i="6"/>
  <c r="O315" i="6"/>
  <c r="P312" i="6"/>
  <c r="O311" i="6"/>
  <c r="P308" i="6"/>
  <c r="O314" i="6"/>
  <c r="P317" i="6"/>
  <c r="O316" i="6"/>
  <c r="P313" i="6"/>
  <c r="O312" i="6"/>
  <c r="P309" i="6"/>
  <c r="O308" i="6"/>
  <c r="P315" i="6"/>
  <c r="P311" i="6"/>
  <c r="O310" i="6"/>
  <c r="O317" i="6"/>
  <c r="P314" i="6"/>
  <c r="O313" i="6"/>
  <c r="P310" i="6"/>
  <c r="O309" i="6"/>
  <c r="Q304" i="6"/>
  <c r="Q317" i="6"/>
  <c r="Q313" i="6"/>
  <c r="Q309" i="6"/>
  <c r="Q312" i="6"/>
  <c r="Q314" i="6"/>
  <c r="Q310" i="6"/>
  <c r="Q316" i="6"/>
  <c r="Q315" i="6"/>
  <c r="Q311" i="6"/>
  <c r="Q308" i="6"/>
  <c r="P304" i="6"/>
  <c r="O304" i="6"/>
  <c r="P285" i="6"/>
  <c r="O283" i="6"/>
  <c r="P280" i="6"/>
  <c r="O279" i="6"/>
  <c r="O285" i="6"/>
  <c r="P281" i="6"/>
  <c r="O280" i="6"/>
  <c r="P282" i="6"/>
  <c r="O281" i="6"/>
  <c r="P278" i="6"/>
  <c r="P283" i="6"/>
  <c r="O282" i="6"/>
  <c r="P279" i="6"/>
  <c r="O278" i="6"/>
  <c r="Q281" i="6"/>
  <c r="Q282" i="6"/>
  <c r="Q278" i="6"/>
  <c r="Q283" i="6"/>
  <c r="Q279" i="6"/>
  <c r="Q285" i="6"/>
  <c r="Q280" i="6"/>
  <c r="Q260" i="6"/>
  <c r="Q261" i="6"/>
  <c r="Q257" i="6"/>
  <c r="Q264" i="6"/>
  <c r="Q262" i="6"/>
  <c r="Q258" i="6"/>
  <c r="Q266" i="6"/>
  <c r="Q263" i="6"/>
  <c r="P266" i="6"/>
  <c r="O264" i="6"/>
  <c r="P263" i="6"/>
  <c r="O262" i="6"/>
  <c r="O258" i="6"/>
  <c r="O266" i="6"/>
  <c r="O263" i="6"/>
  <c r="P260" i="6"/>
  <c r="P261" i="6"/>
  <c r="O260" i="6"/>
  <c r="P257" i="6"/>
  <c r="P264" i="6"/>
  <c r="P262" i="6"/>
  <c r="O261" i="6"/>
  <c r="P258" i="6"/>
  <c r="O257" i="6"/>
  <c r="Q252" i="6"/>
  <c r="Q253" i="6"/>
  <c r="Q251" i="6"/>
  <c r="Q250" i="6"/>
  <c r="Q255" i="6"/>
  <c r="Q249" i="6"/>
  <c r="P251" i="6"/>
  <c r="O255" i="6"/>
  <c r="P250" i="6"/>
  <c r="O249" i="6"/>
  <c r="O253" i="6"/>
  <c r="O251" i="6"/>
  <c r="P252" i="6"/>
  <c r="O250" i="6"/>
  <c r="P255" i="6"/>
  <c r="P253" i="6"/>
  <c r="O252" i="6"/>
  <c r="P249" i="6"/>
  <c r="Q238" i="6"/>
  <c r="Q240" i="6"/>
  <c r="P240" i="6"/>
  <c r="O240" i="6"/>
  <c r="P238" i="6"/>
  <c r="O238" i="6"/>
  <c r="Q223" i="6"/>
  <c r="Q227" i="6"/>
  <c r="Q231" i="6"/>
  <c r="Q229" i="6"/>
  <c r="Q224" i="6"/>
  <c r="Q233" i="6"/>
  <c r="Q230" i="6"/>
  <c r="Q225" i="6"/>
  <c r="Q234" i="6"/>
  <c r="Q226" i="6"/>
  <c r="P234" i="6"/>
  <c r="O233" i="6"/>
  <c r="O230" i="6"/>
  <c r="P226" i="6"/>
  <c r="O225" i="6"/>
  <c r="P223" i="6"/>
  <c r="O234" i="6"/>
  <c r="P227" i="6"/>
  <c r="O226" i="6"/>
  <c r="O231" i="6"/>
  <c r="O229" i="6"/>
  <c r="O223" i="6"/>
  <c r="P231" i="6"/>
  <c r="P229" i="6"/>
  <c r="O227" i="6"/>
  <c r="P224" i="6"/>
  <c r="P233" i="6"/>
  <c r="P230" i="6"/>
  <c r="P225" i="6"/>
  <c r="O224" i="6"/>
  <c r="Q222" i="6"/>
  <c r="Q213" i="6"/>
  <c r="Q219" i="6"/>
  <c r="Q214" i="6"/>
  <c r="Q220" i="6"/>
  <c r="Q215" i="6"/>
  <c r="Q221" i="6"/>
  <c r="Q216" i="6"/>
  <c r="P221" i="6"/>
  <c r="O220" i="6"/>
  <c r="P216" i="6"/>
  <c r="O215" i="6"/>
  <c r="P222" i="6"/>
  <c r="O221" i="6"/>
  <c r="O216" i="6"/>
  <c r="P213" i="6"/>
  <c r="O222" i="6"/>
  <c r="P219" i="6"/>
  <c r="P214" i="6"/>
  <c r="O213" i="6"/>
  <c r="P220" i="6"/>
  <c r="O219" i="6"/>
  <c r="P215" i="6"/>
  <c r="O214" i="6"/>
  <c r="P202" i="6"/>
  <c r="O201" i="6"/>
  <c r="P204" i="6"/>
  <c r="O202" i="6"/>
  <c r="O204" i="6"/>
  <c r="P200" i="6"/>
  <c r="P201" i="6"/>
  <c r="O200" i="6"/>
  <c r="Q204" i="6"/>
  <c r="Q200" i="6"/>
  <c r="Q201" i="6"/>
  <c r="Q202" i="6"/>
  <c r="O197" i="6"/>
  <c r="P191" i="6"/>
  <c r="O194" i="6"/>
  <c r="P190" i="6"/>
  <c r="O193" i="6"/>
  <c r="P195" i="6"/>
  <c r="O191" i="6"/>
  <c r="P192" i="6"/>
  <c r="O190" i="6"/>
  <c r="P194" i="6"/>
  <c r="P196" i="6"/>
  <c r="O195" i="6"/>
  <c r="P193" i="6"/>
  <c r="O192" i="6"/>
  <c r="P197" i="6"/>
  <c r="O196" i="6"/>
  <c r="Q195" i="6"/>
  <c r="Q192" i="6"/>
  <c r="Q191" i="6"/>
  <c r="Q196" i="6"/>
  <c r="Q193" i="6"/>
  <c r="Q197" i="6"/>
  <c r="Q194" i="6"/>
  <c r="Q190" i="6"/>
  <c r="O189" i="6"/>
  <c r="P189" i="6"/>
  <c r="Q189" i="6"/>
  <c r="P186" i="6"/>
  <c r="O185" i="6"/>
  <c r="P182" i="6"/>
  <c r="O181" i="6"/>
  <c r="P185" i="6"/>
  <c r="O180" i="6"/>
  <c r="P188" i="6"/>
  <c r="O186" i="6"/>
  <c r="P183" i="6"/>
  <c r="O182" i="6"/>
  <c r="O184" i="6"/>
  <c r="W184" i="6" s="1"/>
  <c r="O188" i="6"/>
  <c r="P184" i="6"/>
  <c r="O183" i="6"/>
  <c r="P180" i="6"/>
  <c r="P181" i="6"/>
  <c r="Q188" i="6"/>
  <c r="Q183" i="6"/>
  <c r="Q186" i="6"/>
  <c r="Q184" i="6"/>
  <c r="Q180" i="6"/>
  <c r="Q182" i="6"/>
  <c r="Q185" i="6"/>
  <c r="Q181" i="6"/>
  <c r="O168" i="6"/>
  <c r="P162" i="6"/>
  <c r="O160" i="6"/>
  <c r="P157" i="6"/>
  <c r="O164" i="6"/>
  <c r="O159" i="6"/>
  <c r="P163" i="6"/>
  <c r="O162" i="6"/>
  <c r="P158" i="6"/>
  <c r="O157" i="6"/>
  <c r="P160" i="6"/>
  <c r="P164" i="6"/>
  <c r="O163" i="6"/>
  <c r="P159" i="6"/>
  <c r="O158" i="6"/>
  <c r="P168" i="6"/>
  <c r="Q163" i="6"/>
  <c r="Q158" i="6"/>
  <c r="Q164" i="6"/>
  <c r="Q159" i="6"/>
  <c r="Q162" i="6"/>
  <c r="Q168" i="6"/>
  <c r="Q160" i="6"/>
  <c r="Q157" i="6"/>
  <c r="P148" i="6"/>
  <c r="O147" i="6"/>
  <c r="O148" i="6"/>
  <c r="P147" i="6"/>
  <c r="Q147" i="6"/>
  <c r="Q148" i="6"/>
  <c r="P139" i="6"/>
  <c r="O138" i="6"/>
  <c r="O137" i="6"/>
  <c r="O139" i="6"/>
  <c r="P137" i="6"/>
  <c r="P138" i="6"/>
  <c r="Q137" i="6"/>
  <c r="Q138" i="6"/>
  <c r="Q139" i="6"/>
  <c r="O134" i="6"/>
  <c r="O132" i="6"/>
  <c r="P129" i="6"/>
  <c r="O130" i="6"/>
  <c r="O131" i="6"/>
  <c r="P133" i="6"/>
  <c r="P130" i="6"/>
  <c r="O129" i="6"/>
  <c r="O133" i="6"/>
  <c r="P131" i="6"/>
  <c r="P134" i="6"/>
  <c r="P132" i="6"/>
  <c r="Q133" i="6"/>
  <c r="Q130" i="6"/>
  <c r="Q131" i="6"/>
  <c r="Q134" i="6"/>
  <c r="Q132" i="6"/>
  <c r="Q129" i="6"/>
  <c r="O127" i="6"/>
  <c r="P122" i="6"/>
  <c r="O120" i="6"/>
  <c r="P127" i="6"/>
  <c r="O119" i="6"/>
  <c r="P124" i="6"/>
  <c r="O122" i="6"/>
  <c r="O125" i="6"/>
  <c r="P125" i="6"/>
  <c r="O124" i="6"/>
  <c r="P119" i="6"/>
  <c r="P120" i="6"/>
  <c r="Q116" i="6"/>
  <c r="Q124" i="6"/>
  <c r="Q125" i="6"/>
  <c r="Q119" i="6"/>
  <c r="Q127" i="6"/>
  <c r="Q120" i="6"/>
  <c r="Q122" i="6"/>
  <c r="P116" i="6"/>
  <c r="O116" i="6"/>
  <c r="P112" i="6"/>
  <c r="O110" i="6"/>
  <c r="O112" i="6"/>
  <c r="P110" i="6"/>
  <c r="Q112" i="6"/>
  <c r="Q110" i="6"/>
  <c r="Q108" i="6"/>
  <c r="Q105" i="6"/>
  <c r="Q102" i="6"/>
  <c r="Q106" i="6"/>
  <c r="Q103" i="6"/>
  <c r="Q101" i="6"/>
  <c r="Q104" i="6"/>
  <c r="O104" i="6"/>
  <c r="P101" i="6"/>
  <c r="O103" i="6"/>
  <c r="P108" i="6"/>
  <c r="P105" i="6"/>
  <c r="P102" i="6"/>
  <c r="O101" i="6"/>
  <c r="O108" i="6"/>
  <c r="P106" i="6"/>
  <c r="O105" i="6"/>
  <c r="P103" i="6"/>
  <c r="O102" i="6"/>
  <c r="O106" i="6"/>
  <c r="P104" i="6"/>
  <c r="Q99" i="6"/>
  <c r="Q93" i="6"/>
  <c r="Q94" i="6"/>
  <c r="Q95" i="6"/>
  <c r="Q96" i="6"/>
  <c r="P96" i="6"/>
  <c r="O95" i="6"/>
  <c r="P95" i="6"/>
  <c r="O94" i="6"/>
  <c r="P99" i="6"/>
  <c r="O96" i="6"/>
  <c r="P93" i="6"/>
  <c r="O99" i="6"/>
  <c r="P94" i="6"/>
  <c r="O93" i="6"/>
  <c r="Q46" i="6"/>
  <c r="Q48" i="6"/>
  <c r="Q47" i="6"/>
  <c r="Q45" i="6"/>
  <c r="Q44" i="6"/>
  <c r="P48" i="6"/>
  <c r="P45" i="6"/>
  <c r="O44" i="6"/>
  <c r="O48" i="6"/>
  <c r="P46" i="6"/>
  <c r="O45" i="6"/>
  <c r="O47" i="6"/>
  <c r="P47" i="6"/>
  <c r="O46" i="6"/>
  <c r="P44" i="6"/>
  <c r="Q41" i="6"/>
  <c r="Q34" i="6"/>
  <c r="Q35" i="6"/>
  <c r="O35" i="6"/>
  <c r="P35" i="6"/>
  <c r="P41" i="6"/>
  <c r="P34" i="6"/>
  <c r="O41" i="6"/>
  <c r="O34" i="6"/>
  <c r="Q42" i="6"/>
  <c r="P42" i="6"/>
  <c r="O42" i="6"/>
  <c r="Q33" i="6"/>
  <c r="P33" i="6"/>
  <c r="O33" i="6"/>
  <c r="Q562" i="6"/>
  <c r="Q552" i="6"/>
  <c r="P552" i="6"/>
  <c r="O552" i="6"/>
  <c r="Q27" i="6"/>
  <c r="P27" i="6"/>
  <c r="O27" i="6"/>
  <c r="P535" i="6"/>
  <c r="O535" i="6"/>
  <c r="Q535" i="6"/>
  <c r="Q389" i="6"/>
  <c r="P296" i="6"/>
  <c r="O296" i="6"/>
  <c r="Q296" i="6"/>
  <c r="P80" i="6"/>
  <c r="O80" i="6"/>
  <c r="P536" i="6"/>
  <c r="O536" i="6"/>
  <c r="Q537" i="6"/>
  <c r="Q536" i="6"/>
  <c r="P562" i="6"/>
  <c r="O562" i="6"/>
  <c r="Q29" i="6"/>
  <c r="Q473" i="6"/>
  <c r="P64" i="6"/>
  <c r="O64" i="6"/>
  <c r="Q51" i="6"/>
  <c r="Q64" i="6"/>
  <c r="P537" i="6"/>
  <c r="O537" i="6"/>
  <c r="P473" i="6"/>
  <c r="O473" i="6"/>
  <c r="P389" i="6"/>
  <c r="O389" i="6"/>
  <c r="P89" i="6"/>
  <c r="O89" i="6"/>
  <c r="Q89" i="6"/>
  <c r="P29" i="6"/>
  <c r="O29" i="6"/>
  <c r="Q541" i="6"/>
  <c r="P480" i="6"/>
  <c r="O480" i="6"/>
  <c r="Q480" i="6"/>
  <c r="P305" i="6"/>
  <c r="O305" i="6"/>
  <c r="Q305" i="6"/>
  <c r="P363" i="6"/>
  <c r="O363" i="6"/>
  <c r="Q363" i="6"/>
  <c r="P51" i="6"/>
  <c r="O51" i="6"/>
  <c r="Q30" i="6"/>
  <c r="P541" i="6"/>
  <c r="O541" i="6"/>
  <c r="Q211" i="6"/>
  <c r="P211" i="6"/>
  <c r="O211" i="6"/>
  <c r="P30" i="6"/>
  <c r="O30" i="6"/>
  <c r="Q534" i="6"/>
  <c r="Q82" i="6"/>
  <c r="P534" i="6"/>
  <c r="O534" i="6"/>
  <c r="P325" i="6"/>
  <c r="O324" i="6"/>
  <c r="P322" i="6"/>
  <c r="O321" i="6"/>
  <c r="P324" i="6"/>
  <c r="O323" i="6"/>
  <c r="O325" i="6"/>
  <c r="O322" i="6"/>
  <c r="P319" i="6"/>
  <c r="P323" i="6"/>
  <c r="O319" i="6"/>
  <c r="P321" i="6"/>
  <c r="Q319" i="6"/>
  <c r="Q324" i="6"/>
  <c r="Q325" i="6"/>
  <c r="Q323" i="6"/>
  <c r="Q321" i="6"/>
  <c r="Q322" i="6"/>
  <c r="P82" i="6"/>
  <c r="O82" i="6"/>
  <c r="P135" i="6"/>
  <c r="O135" i="6"/>
  <c r="Q135" i="6"/>
  <c r="O513" i="6"/>
  <c r="P511" i="6"/>
  <c r="O512" i="6"/>
  <c r="P512" i="6"/>
  <c r="O511" i="6"/>
  <c r="P513" i="6"/>
  <c r="Q511" i="6"/>
  <c r="Q512" i="6"/>
  <c r="Q513" i="6"/>
  <c r="Q436" i="6"/>
  <c r="P436" i="6"/>
  <c r="O436" i="6"/>
  <c r="Q270" i="6"/>
  <c r="Q271" i="6"/>
  <c r="Q269" i="6"/>
  <c r="P271" i="6"/>
  <c r="P269" i="6"/>
  <c r="O271" i="6"/>
  <c r="O269" i="6"/>
  <c r="P270" i="6"/>
  <c r="O270" i="6"/>
  <c r="P256" i="6"/>
  <c r="O256" i="6"/>
  <c r="Q256" i="6"/>
  <c r="Q247" i="6"/>
  <c r="Q246" i="6"/>
  <c r="P247" i="6"/>
  <c r="O246" i="6"/>
  <c r="P246" i="6"/>
  <c r="O247" i="6"/>
  <c r="Q241" i="6"/>
  <c r="Q243" i="6"/>
  <c r="O243" i="6"/>
  <c r="P241" i="6"/>
  <c r="P243" i="6"/>
  <c r="O241" i="6"/>
  <c r="Q207" i="6"/>
  <c r="P207" i="6"/>
  <c r="O207" i="6"/>
  <c r="P320" i="6"/>
  <c r="O320" i="6"/>
  <c r="Q320" i="6"/>
  <c r="O300" i="6"/>
  <c r="P295" i="6"/>
  <c r="P300" i="6"/>
  <c r="O298" i="6"/>
  <c r="O295" i="6"/>
  <c r="P298" i="6"/>
  <c r="Q298" i="6"/>
  <c r="Q300" i="6"/>
  <c r="Q295" i="6"/>
  <c r="P358" i="6"/>
  <c r="O357" i="6"/>
  <c r="O351" i="6"/>
  <c r="P349" i="6"/>
  <c r="O348" i="6"/>
  <c r="O360" i="6"/>
  <c r="P348" i="6"/>
  <c r="P359" i="6"/>
  <c r="O358" i="6"/>
  <c r="P352" i="6"/>
  <c r="P350" i="6"/>
  <c r="O349" i="6"/>
  <c r="P357" i="6"/>
  <c r="P351" i="6"/>
  <c r="P360" i="6"/>
  <c r="O359" i="6"/>
  <c r="P354" i="6"/>
  <c r="O352" i="6"/>
  <c r="O350" i="6"/>
  <c r="O354" i="6"/>
  <c r="Q359" i="6"/>
  <c r="Q352" i="6"/>
  <c r="Q350" i="6"/>
  <c r="Q349" i="6"/>
  <c r="Q360" i="6"/>
  <c r="Q354" i="6"/>
  <c r="Q357" i="6"/>
  <c r="Q351" i="6"/>
  <c r="Q348" i="6"/>
  <c r="Q358" i="6"/>
  <c r="O146" i="6"/>
  <c r="P146" i="6"/>
  <c r="Q146" i="6"/>
  <c r="P199" i="6"/>
  <c r="O199" i="6"/>
  <c r="Q199" i="6"/>
  <c r="Q53" i="6"/>
  <c r="Q268" i="6"/>
  <c r="P53" i="6"/>
  <c r="O53" i="6"/>
  <c r="Q90" i="6"/>
  <c r="Q100" i="6"/>
  <c r="O100" i="6"/>
  <c r="P100" i="6"/>
  <c r="P90" i="6"/>
  <c r="O90" i="6"/>
  <c r="P291" i="6"/>
  <c r="O287" i="6"/>
  <c r="O289" i="6"/>
  <c r="P287" i="6"/>
  <c r="O286" i="6"/>
  <c r="O291" i="6"/>
  <c r="P289" i="6"/>
  <c r="P286" i="6"/>
  <c r="Q291" i="6"/>
  <c r="Q289" i="6"/>
  <c r="Q286" i="6"/>
  <c r="Q287" i="6"/>
  <c r="Q479" i="6"/>
  <c r="P479" i="6"/>
  <c r="O479" i="6"/>
  <c r="P117" i="6"/>
  <c r="O117" i="6"/>
  <c r="Q117" i="6"/>
  <c r="Q236" i="6"/>
  <c r="Q540" i="6"/>
  <c r="P540" i="6"/>
  <c r="O540" i="6"/>
  <c r="P236" i="6"/>
  <c r="O236" i="6"/>
  <c r="P62" i="6"/>
  <c r="O62" i="6"/>
  <c r="Q66" i="6"/>
  <c r="Q62" i="6"/>
  <c r="P66" i="6"/>
  <c r="O66" i="6"/>
  <c r="P268" i="6"/>
  <c r="O268" i="6"/>
  <c r="P394" i="6"/>
  <c r="P396" i="6"/>
  <c r="O394" i="6"/>
  <c r="O396" i="6"/>
  <c r="Q396" i="6"/>
  <c r="Q394" i="6"/>
  <c r="O336" i="6"/>
  <c r="P335" i="6"/>
  <c r="O335" i="6"/>
  <c r="P336" i="6"/>
  <c r="Q335" i="6"/>
  <c r="Q336" i="6"/>
  <c r="P533" i="6"/>
  <c r="O533" i="6"/>
  <c r="Q533" i="6"/>
  <c r="Q522" i="6"/>
  <c r="P522" i="6"/>
  <c r="O522" i="6"/>
  <c r="Q542" i="6"/>
  <c r="P542" i="6"/>
  <c r="O542" i="6"/>
  <c r="Q451" i="6"/>
  <c r="Q452" i="6"/>
  <c r="O452" i="6"/>
  <c r="P451" i="6"/>
  <c r="P452" i="6"/>
  <c r="O451" i="6"/>
  <c r="P274" i="6"/>
  <c r="P275" i="6"/>
  <c r="O274" i="6"/>
  <c r="O275" i="6"/>
  <c r="Q275" i="6"/>
  <c r="Q274" i="6"/>
  <c r="O391" i="6"/>
  <c r="O388" i="6"/>
  <c r="P390" i="6"/>
  <c r="P387" i="6"/>
  <c r="P391" i="6"/>
  <c r="O390" i="6"/>
  <c r="P388" i="6"/>
  <c r="O387" i="6"/>
  <c r="Q390" i="6"/>
  <c r="Q387" i="6"/>
  <c r="Q391" i="6"/>
  <c r="Q388" i="6"/>
  <c r="P368" i="6"/>
  <c r="O368" i="6"/>
  <c r="Q368" i="6"/>
  <c r="O367" i="6"/>
  <c r="P366" i="6"/>
  <c r="P367" i="6"/>
  <c r="O366" i="6"/>
  <c r="Q366" i="6"/>
  <c r="Q367" i="6"/>
  <c r="O170" i="6"/>
  <c r="P170" i="6"/>
  <c r="P173" i="6"/>
  <c r="O173" i="6"/>
  <c r="Q173" i="6"/>
  <c r="Q170" i="6"/>
  <c r="Q142" i="6"/>
  <c r="Q145" i="6"/>
  <c r="P142" i="6"/>
  <c r="P145" i="6"/>
  <c r="O142" i="6"/>
  <c r="O145" i="6"/>
  <c r="Q481" i="6"/>
  <c r="P481" i="6"/>
  <c r="O481" i="6"/>
  <c r="P307" i="6"/>
  <c r="O307" i="6"/>
  <c r="Q307" i="6"/>
  <c r="O306" i="6"/>
  <c r="P303" i="6"/>
  <c r="P306" i="6"/>
  <c r="O303" i="6"/>
  <c r="Q303" i="6"/>
  <c r="Q306" i="6"/>
  <c r="Q115" i="6"/>
  <c r="P115" i="6"/>
  <c r="O115" i="6"/>
  <c r="P179" i="6"/>
  <c r="O179" i="6"/>
  <c r="Q179" i="6"/>
  <c r="P177" i="6"/>
  <c r="O177" i="6"/>
  <c r="Q177" i="6"/>
  <c r="P83" i="6"/>
  <c r="O81" i="6"/>
  <c r="P85" i="6"/>
  <c r="O83" i="6"/>
  <c r="O85" i="6"/>
  <c r="P81" i="6"/>
  <c r="Q85" i="6"/>
  <c r="Q83" i="6"/>
  <c r="Q81" i="6"/>
  <c r="O77" i="6"/>
  <c r="P74" i="6"/>
  <c r="O73" i="6"/>
  <c r="O71" i="6"/>
  <c r="P69" i="6"/>
  <c r="O68" i="6"/>
  <c r="P75" i="6"/>
  <c r="O74" i="6"/>
  <c r="P72" i="6"/>
  <c r="O69" i="6"/>
  <c r="P68" i="6"/>
  <c r="O67" i="6"/>
  <c r="O75" i="6"/>
  <c r="O72" i="6"/>
  <c r="P67" i="6"/>
  <c r="P77" i="6"/>
  <c r="P73" i="6"/>
  <c r="P71" i="6"/>
  <c r="Q75" i="6"/>
  <c r="Q72" i="6"/>
  <c r="Q69" i="6"/>
  <c r="Q67" i="6"/>
  <c r="Q77" i="6"/>
  <c r="Q73" i="6"/>
  <c r="Q71" i="6"/>
  <c r="Q68" i="6"/>
  <c r="Q74" i="6"/>
  <c r="Q57" i="6"/>
  <c r="Q56" i="6"/>
  <c r="Q60" i="6"/>
  <c r="Q61" i="6"/>
  <c r="Q55" i="6"/>
  <c r="P61" i="6"/>
  <c r="P56" i="6"/>
  <c r="O55" i="6"/>
  <c r="P55" i="6"/>
  <c r="O61" i="6"/>
  <c r="P57" i="6"/>
  <c r="O56" i="6"/>
  <c r="O60" i="6"/>
  <c r="P60" i="6"/>
  <c r="O57" i="6"/>
  <c r="P52" i="6"/>
  <c r="O52" i="6"/>
  <c r="Q52" i="6"/>
  <c r="Q25" i="6"/>
  <c r="Q26" i="6"/>
  <c r="P26" i="6"/>
  <c r="O25" i="6"/>
  <c r="O26" i="6"/>
  <c r="P25" i="6"/>
  <c r="Q398" i="6"/>
  <c r="P398" i="6"/>
  <c r="O398" i="6"/>
  <c r="Q414" i="6"/>
  <c r="P414" i="6"/>
  <c r="O414" i="6"/>
  <c r="Q118" i="6"/>
  <c r="P118" i="6"/>
  <c r="O118" i="6"/>
  <c r="B5" i="40"/>
  <c r="Q92" i="6"/>
  <c r="P92" i="6"/>
  <c r="O92" i="6"/>
  <c r="Q21" i="6"/>
  <c r="P21" i="6"/>
  <c r="O21" i="6"/>
  <c r="P424" i="6"/>
  <c r="O424" i="6"/>
  <c r="Q424" i="6"/>
  <c r="Q78" i="6"/>
  <c r="P78" i="6"/>
  <c r="O78" i="6"/>
  <c r="Q453" i="6"/>
  <c r="P453" i="6"/>
  <c r="O453" i="6"/>
  <c r="P128" i="6"/>
  <c r="O128" i="6"/>
  <c r="Q128" i="6"/>
  <c r="Q482" i="6"/>
  <c r="P482" i="6"/>
  <c r="O482" i="6"/>
  <c r="P156" i="6"/>
  <c r="O156" i="6"/>
  <c r="Q156" i="6"/>
  <c r="P277" i="6"/>
  <c r="O277" i="6"/>
  <c r="Q277" i="6"/>
  <c r="Q248" i="6"/>
  <c r="P248" i="6"/>
  <c r="O248" i="6"/>
  <c r="P212" i="6"/>
  <c r="Q141" i="6"/>
  <c r="Q175" i="6"/>
  <c r="Q23" i="6"/>
  <c r="O23" i="6"/>
  <c r="P23" i="6"/>
  <c r="Q169" i="6"/>
  <c r="Q20" i="6"/>
  <c r="P20" i="6"/>
  <c r="O20" i="6"/>
  <c r="O206" i="6"/>
  <c r="Q478" i="6"/>
  <c r="O212" i="6"/>
  <c r="Q504" i="6"/>
  <c r="P206" i="6"/>
  <c r="Q114" i="6"/>
  <c r="S8" i="21"/>
  <c r="S10" i="21"/>
  <c r="S12" i="21"/>
  <c r="P532" i="6"/>
  <c r="O510" i="6"/>
  <c r="O532" i="6"/>
  <c r="P514" i="6"/>
  <c r="O514" i="6"/>
  <c r="P510" i="6"/>
  <c r="P54" i="6"/>
  <c r="O50" i="6"/>
  <c r="O54" i="6"/>
  <c r="P50" i="6"/>
  <c r="O273" i="6"/>
  <c r="P273" i="6"/>
  <c r="P294" i="6"/>
  <c r="O294" i="6"/>
  <c r="Q54" i="6"/>
  <c r="Q50" i="6"/>
  <c r="P478" i="6"/>
  <c r="P504" i="6"/>
  <c r="O478" i="6"/>
  <c r="O504" i="6"/>
  <c r="Q386" i="6"/>
  <c r="Q365" i="6"/>
  <c r="Q375" i="6"/>
  <c r="P175" i="6"/>
  <c r="O175" i="6"/>
  <c r="Q326" i="6"/>
  <c r="Q302" i="6"/>
  <c r="Q318" i="6"/>
  <c r="Q356" i="6"/>
  <c r="Q347" i="6"/>
  <c r="Q333" i="6"/>
  <c r="Q337" i="6"/>
  <c r="P393" i="6"/>
  <c r="O408" i="6"/>
  <c r="O393" i="6"/>
  <c r="P408" i="6"/>
  <c r="Q22" i="6"/>
  <c r="Q16" i="6"/>
  <c r="P141" i="6"/>
  <c r="O141" i="6"/>
  <c r="P169" i="6"/>
  <c r="O169" i="6"/>
  <c r="Q212" i="6"/>
  <c r="Q206" i="6"/>
  <c r="P326" i="6"/>
  <c r="O326" i="6"/>
  <c r="P318" i="6"/>
  <c r="P302" i="6"/>
  <c r="O302" i="6"/>
  <c r="O318" i="6"/>
  <c r="O333" i="6"/>
  <c r="O347" i="6"/>
  <c r="O337" i="6"/>
  <c r="P333" i="6"/>
  <c r="P356" i="6"/>
  <c r="O356" i="6"/>
  <c r="P337" i="6"/>
  <c r="P347" i="6"/>
  <c r="S7" i="21"/>
  <c r="S9" i="21"/>
  <c r="S11" i="21"/>
  <c r="S13" i="21"/>
  <c r="Q109" i="6"/>
  <c r="Q87" i="6"/>
  <c r="Q88" i="6"/>
  <c r="Q450" i="6"/>
  <c r="P375" i="6"/>
  <c r="O386" i="6"/>
  <c r="O375" i="6"/>
  <c r="P365" i="6"/>
  <c r="O365" i="6"/>
  <c r="P386" i="6"/>
  <c r="Q444" i="6"/>
  <c r="Q420" i="6"/>
  <c r="O450" i="6"/>
  <c r="P450" i="6"/>
  <c r="P88" i="6"/>
  <c r="P87" i="6"/>
  <c r="O88" i="6"/>
  <c r="P109" i="6"/>
  <c r="O87" i="6"/>
  <c r="O109" i="6"/>
  <c r="Q539" i="6"/>
  <c r="Q543" i="6"/>
  <c r="O22" i="6"/>
  <c r="O16" i="6"/>
  <c r="P16" i="6"/>
  <c r="P22" i="6"/>
  <c r="Q245" i="6"/>
  <c r="Q273" i="6"/>
  <c r="Q294" i="6"/>
  <c r="Q408" i="6"/>
  <c r="Q393" i="6"/>
  <c r="Q514" i="6"/>
  <c r="Q532" i="6"/>
  <c r="Q510" i="6"/>
  <c r="P444" i="6"/>
  <c r="P420" i="6"/>
  <c r="O420" i="6"/>
  <c r="O444" i="6"/>
  <c r="O539" i="6"/>
  <c r="P539" i="6"/>
  <c r="P543" i="6"/>
  <c r="O543" i="6"/>
  <c r="O114" i="6"/>
  <c r="P114" i="6"/>
  <c r="O245" i="6"/>
  <c r="P245" i="6"/>
  <c r="W271" i="6" l="1"/>
  <c r="W497" i="6"/>
  <c r="W508" i="6"/>
  <c r="W163" i="6"/>
  <c r="W261" i="6"/>
  <c r="W257" i="6"/>
  <c r="W61" i="6"/>
  <c r="W34" i="6"/>
  <c r="W44" i="6"/>
  <c r="W43" i="6"/>
  <c r="W39" i="6"/>
  <c r="W206" i="6"/>
  <c r="W213" i="6"/>
  <c r="W241" i="6"/>
  <c r="W230" i="6"/>
  <c r="W101" i="6"/>
  <c r="W189" i="6"/>
  <c r="W55" i="6"/>
  <c r="M24" i="8" s="1"/>
  <c r="W191" i="6"/>
  <c r="I26" i="8" s="1"/>
  <c r="W96" i="6"/>
  <c r="W110" i="6"/>
  <c r="W122" i="6"/>
  <c r="W131" i="6"/>
  <c r="W74" i="6"/>
  <c r="W73" i="6"/>
  <c r="W79" i="6"/>
  <c r="W294" i="6"/>
  <c r="W78" i="6"/>
  <c r="W16" i="6"/>
  <c r="W175" i="6"/>
  <c r="I8" i="8"/>
  <c r="W87" i="6"/>
  <c r="I42" i="8"/>
  <c r="S14" i="21"/>
  <c r="W393" i="6"/>
  <c r="E27" i="8"/>
  <c r="W50" i="6"/>
  <c r="I24" i="8"/>
  <c r="I44" i="8" l="1"/>
  <c r="M44" i="8"/>
  <c r="M12" i="8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H20" i="8"/>
  <c r="L20" i="8"/>
</calcChain>
</file>

<file path=xl/sharedStrings.xml><?xml version="1.0" encoding="utf-8"?>
<sst xmlns="http://schemas.openxmlformats.org/spreadsheetml/2006/main" count="4019" uniqueCount="676">
  <si>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</si>
  <si>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</si>
  <si>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</si>
  <si>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</si>
  <si>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</si>
  <si>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</si>
  <si>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</si>
  <si>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</si>
  <si>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</si>
  <si>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</si>
  <si>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</si>
  <si>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</si>
  <si>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</si>
  <si>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</si>
  <si>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</si>
  <si>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</si>
  <si>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</si>
  <si>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</si>
  <si>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</si>
  <si>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</si>
  <si>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</si>
  <si>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</si>
  <si>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</si>
  <si>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</si>
  <si>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</si>
  <si>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</si>
  <si>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</si>
  <si>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</si>
  <si>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</si>
  <si>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</si>
  <si>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</si>
  <si>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</si>
  <si>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</si>
  <si>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</si>
  <si>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</si>
  <si>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</si>
  <si>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</si>
  <si>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</si>
  <si>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</si>
  <si>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</si>
  <si>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</si>
  <si>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</si>
  <si>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</si>
  <si>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</si>
  <si>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</si>
  <si>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</si>
  <si>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</si>
  <si>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</si>
  <si>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</si>
  <si>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</si>
  <si>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</si>
  <si>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</si>
  <si>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</si>
  <si>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</si>
  <si>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</si>
  <si>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</si>
  <si>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</si>
  <si>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</si>
  <si>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</si>
  <si>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</si>
  <si>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</si>
  <si>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</si>
  <si>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</si>
  <si>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</si>
  <si>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</si>
  <si>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</si>
  <si>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</si>
  <si>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</si>
  <si>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</si>
  <si>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</si>
  <si>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</si>
  <si>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</si>
  <si>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</si>
  <si>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</si>
  <si>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</si>
  <si>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</si>
  <si>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</si>
  <si>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</si>
  <si>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</si>
  <si>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</si>
  <si>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</si>
  <si>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</si>
  <si>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</si>
  <si>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</si>
  <si>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</si>
  <si>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</si>
  <si>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</si>
  <si>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</si>
  <si>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</si>
  <si>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</si>
  <si>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</si>
  <si>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</si>
  <si>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</si>
  <si>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</si>
  <si>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</si>
  <si>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</si>
  <si>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</si>
  <si>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</si>
  <si>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</si>
  <si>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</si>
  <si>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</si>
  <si>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</si>
  <si>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</si>
  <si>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</si>
  <si>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</si>
  <si>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</si>
  <si>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</si>
  <si>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</si>
  <si>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</si>
  <si>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</si>
  <si>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</si>
  <si>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</si>
  <si>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</si>
  <si>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</si>
  <si>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</si>
  <si>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</si>
  <si>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</si>
  <si>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</si>
  <si>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</si>
  <si>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</si>
  <si>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</si>
  <si>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</si>
  <si>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</si>
  <si>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</si>
  <si>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</si>
  <si>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</si>
  <si>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</si>
  <si>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</si>
  <si>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</si>
  <si>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</si>
  <si>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</si>
  <si>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</si>
  <si>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</si>
  <si>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</si>
  <si>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</si>
  <si>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</si>
  <si>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</si>
  <si>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</si>
  <si>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</si>
  <si>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</si>
  <si>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</si>
  <si>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</si>
  <si>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</si>
  <si>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</si>
  <si>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</si>
  <si>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</si>
  <si>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</si>
  <si>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</si>
  <si>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</si>
  <si>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</si>
  <si>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</si>
  <si>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</si>
  <si>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</si>
  <si>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</si>
  <si>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</si>
  <si>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</si>
  <si>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</si>
  <si>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</si>
  <si>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</si>
  <si>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</si>
  <si>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</si>
  <si>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</si>
  <si>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</si>
  <si>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</si>
  <si>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</si>
  <si>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</si>
  <si>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</si>
  <si>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</si>
  <si>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</si>
  <si>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</si>
  <si>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</si>
  <si>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</si>
  <si>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</si>
  <si>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</si>
  <si>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</si>
  <si>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</si>
  <si>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</si>
  <si>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</si>
  <si>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</si>
  <si>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</si>
  <si>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</si>
  <si>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</si>
  <si>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</si>
  <si>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</si>
  <si>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</si>
  <si>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</si>
  <si>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</si>
  <si>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</si>
  <si>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</si>
  <si>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</si>
  <si>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</si>
  <si>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</si>
  <si>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</si>
  <si>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</si>
  <si>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</si>
  <si>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</si>
  <si>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</si>
  <si>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</si>
  <si>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</si>
  <si>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</si>
  <si>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</si>
  <si>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</si>
  <si>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</si>
  <si>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</si>
  <si>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</si>
  <si>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</si>
  <si>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</si>
  <si>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</si>
  <si>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</si>
  <si>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</si>
  <si>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</si>
  <si>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</si>
  <si>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</si>
  <si>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Ramy Bensebaini (A)</t>
  </si>
  <si>
    <t>Giovanni Reyna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</si>
  <si>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</si>
  <si>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</si>
  <si>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</si>
  <si>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</si>
  <si>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</si>
  <si>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</si>
  <si>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</si>
  <si>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</si>
  <si>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</si>
  <si>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</si>
  <si>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</si>
  <si>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</si>
  <si>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</si>
  <si>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</si>
  <si>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Thomas Meunier (A)</t>
  </si>
  <si>
    <t>Benjamin Henrichs</t>
  </si>
  <si>
    <t>Jan Olschowsky</t>
  </si>
  <si>
    <t>Luca Philipp</t>
  </si>
  <si>
    <t>Maxence Lacroix (A)</t>
  </si>
  <si>
    <t>Benjamin Uphoff</t>
  </si>
  <si>
    <t>Tuta (A)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</si>
  <si>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</si>
  <si>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</si>
  <si>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</si>
  <si>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</si>
  <si>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</si>
  <si>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</si>
  <si>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</si>
  <si>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</si>
  <si>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</si>
  <si>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</si>
  <si>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</si>
  <si>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</si>
  <si>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</si>
  <si>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</si>
  <si>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</si>
  <si>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</si>
  <si>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</si>
  <si>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</si>
  <si>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</si>
  <si>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</si>
  <si>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</si>
  <si>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</si>
  <si>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</si>
  <si>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</si>
  <si>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</si>
  <si>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</si>
  <si>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</si>
  <si>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</si>
  <si>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</si>
  <si>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</si>
  <si>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</si>
  <si>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</si>
  <si>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</si>
  <si>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</si>
  <si>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</si>
  <si>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</si>
  <si>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</si>
  <si>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</si>
  <si>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</si>
  <si>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</si>
  <si>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</si>
  <si>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</si>
  <si>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</si>
  <si>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</si>
  <si>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</si>
  <si>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</si>
  <si>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</si>
  <si>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</si>
  <si>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</si>
  <si>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</si>
  <si>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</si>
  <si>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</si>
  <si>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</si>
  <si>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</si>
  <si>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</si>
  <si>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</si>
  <si>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</si>
  <si>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</si>
  <si>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</si>
  <si>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</si>
  <si>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</si>
  <si>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</si>
  <si>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</si>
  <si>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</si>
  <si>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</si>
  <si>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</si>
  <si>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</si>
  <si>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</si>
  <si>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</si>
  <si>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</si>
  <si>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</si>
  <si>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</si>
  <si>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</si>
  <si>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</si>
  <si>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</si>
  <si>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</si>
  <si>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</si>
  <si>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</si>
  <si>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</si>
  <si>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</si>
  <si>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</si>
  <si>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</si>
  <si>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</si>
  <si>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</si>
  <si>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</si>
  <si>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</si>
  <si>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</si>
  <si>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</si>
  <si>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</si>
  <si>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</si>
  <si>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</si>
  <si>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</si>
  <si>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</si>
  <si>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</si>
  <si>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</si>
  <si>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</si>
  <si>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</si>
  <si>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</si>
  <si>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</si>
  <si>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</si>
  <si>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</si>
  <si>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</si>
  <si>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</si>
  <si>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</si>
  <si>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</si>
  <si>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</si>
  <si>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</si>
  <si>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</si>
  <si>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</si>
  <si>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</si>
  <si>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</si>
  <si>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</si>
  <si>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Mario Götze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</si>
  <si>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</si>
  <si>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</si>
  <si>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</si>
  <si>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</si>
  <si>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</si>
  <si>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</si>
  <si>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Ivan Ordets (A)</t>
  </si>
  <si>
    <t>Mohammed Tolba</t>
  </si>
  <si>
    <t>Philipp Hofmann</t>
  </si>
  <si>
    <t>Josha Vagnoman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</si>
  <si>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</si>
  <si>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</si>
  <si>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</si>
  <si>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</si>
  <si>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</si>
  <si>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</si>
  <si>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</si>
  <si>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</si>
  <si>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</si>
  <si>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</si>
  <si>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</si>
  <si>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</si>
  <si>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</si>
  <si>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</si>
  <si>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</si>
  <si>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</si>
  <si>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</si>
  <si>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Merlin Röhl</t>
  </si>
  <si>
    <t>Eric Junior Dina Ebimbe (A)</t>
  </si>
  <si>
    <t>Nathan Ngoumou (A)</t>
  </si>
  <si>
    <t>Julian Weigl</t>
  </si>
  <si>
    <t>Sepp van den Berg (A)</t>
  </si>
  <si>
    <t>Dan-Axel Zagadou (A)</t>
  </si>
  <si>
    <t>Serhou Guirassy (A)</t>
  </si>
  <si>
    <t>Antonis Papadopoulos</t>
  </si>
  <si>
    <t>Nelson Weiper</t>
  </si>
  <si>
    <t>Laurin Ulrich</t>
  </si>
  <si>
    <t>Silas Ostrzinski</t>
  </si>
  <si>
    <t>Kenneth Schmidt</t>
  </si>
  <si>
    <t>Paxton Aaronson (A)</t>
  </si>
  <si>
    <t>Arne Engels (A)</t>
  </si>
  <si>
    <t>Noah Mbamba (A)</t>
  </si>
  <si>
    <t>Jonas Omlin (A)</t>
  </si>
  <si>
    <t>Moritz Broschinski</t>
  </si>
  <si>
    <t>Julien Duranville (A)</t>
  </si>
  <si>
    <t>Aissa Laidouni (A)</t>
  </si>
  <si>
    <t>Ludovic Ajorque (A)</t>
  </si>
  <si>
    <t>Nicolas Cozza (A)</t>
  </si>
  <si>
    <t>Vincenzo Grifo</t>
  </si>
  <si>
    <t>Brajan Gruda</t>
  </si>
  <si>
    <t>John Anthony Brooks</t>
  </si>
  <si>
    <t>Umut Tohumcu</t>
  </si>
  <si>
    <t>Philipp Max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</si>
  <si>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</si>
  <si>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</si>
  <si>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</si>
  <si>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</si>
  <si>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</si>
  <si>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</si>
  <si>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</si>
  <si>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</si>
  <si>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</si>
  <si>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</si>
  <si>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</si>
  <si>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</si>
  <si>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</si>
  <si>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</si>
  <si>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</si>
  <si>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</si>
  <si>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</si>
  <si>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</si>
  <si>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Xavi Simons (A)</t>
  </si>
  <si>
    <t>Yannic Stein</t>
  </si>
  <si>
    <t>Brendon Aaronson (A)</t>
  </si>
  <si>
    <t>Mikkel Kaufmann (A)</t>
  </si>
  <si>
    <t>Benedict Hollerbach</t>
  </si>
  <si>
    <t>Jordy Makengo (A)</t>
  </si>
  <si>
    <t>Max Rosenfelder</t>
  </si>
  <si>
    <t>Junior Adamu (A)</t>
  </si>
  <si>
    <t>Arthur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</si>
  <si>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</si>
  <si>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</si>
  <si>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</si>
  <si>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</si>
  <si>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</si>
  <si>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</si>
  <si>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</si>
  <si>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</si>
  <si>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</si>
  <si>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</si>
  <si>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</si>
  <si>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</si>
  <si>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</si>
  <si>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Jens Petter Hauge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</si>
  <si>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</si>
  <si>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</si>
  <si>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</si>
  <si>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</si>
  <si>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</si>
  <si>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</si>
  <si>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</si>
  <si>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</si>
  <si>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</si>
  <si>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</si>
  <si>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</si>
  <si>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</si>
  <si>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</si>
  <si>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</si>
  <si>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</si>
  <si>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</si>
  <si>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</si>
  <si>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Noah Katterbach</t>
  </si>
  <si>
    <t>Elias Bakatukanda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</si>
  <si>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</si>
  <si>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</si>
  <si>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</si>
  <si>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</si>
  <si>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</si>
  <si>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</si>
  <si>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</si>
  <si>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</si>
  <si>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</si>
  <si>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</si>
  <si>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</si>
  <si>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</si>
  <si>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</si>
  <si>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</si>
  <si>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</si>
  <si>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</si>
  <si>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</si>
  <si>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</si>
  <si>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</si>
  <si>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</si>
  <si>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</si>
  <si>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</si>
  <si>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</si>
  <si>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</si>
  <si>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</si>
  <si>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</si>
  <si>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</si>
  <si>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</si>
  <si>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</si>
  <si>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</si>
  <si>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</si>
  <si>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</si>
  <si>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</si>
  <si>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</si>
  <si>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</si>
  <si>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</si>
  <si>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</si>
  <si>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</si>
  <si>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</si>
  <si>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</si>
  <si>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</si>
  <si>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</si>
  <si>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</si>
  <si>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</si>
  <si>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</si>
  <si>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</si>
  <si>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</si>
  <si>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</si>
  <si>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</si>
  <si>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</si>
  <si>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</si>
  <si>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</si>
  <si>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</si>
  <si>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</si>
  <si>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</si>
  <si>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</si>
  <si>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</si>
  <si>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</si>
  <si>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</si>
  <si>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</si>
  <si>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</si>
  <si>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</si>
  <si>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</si>
  <si>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</si>
  <si>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</si>
  <si>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</si>
  <si>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</si>
  <si>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</si>
  <si>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</si>
  <si>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</si>
  <si>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</si>
  <si>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</si>
  <si>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</si>
  <si>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</si>
  <si>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</si>
  <si>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</si>
  <si>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</si>
  <si>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</si>
  <si>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</si>
  <si>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</si>
  <si>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</si>
  <si>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</si>
  <si>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</si>
  <si>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</si>
  <si>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Fabio Torsiello</t>
  </si>
  <si>
    <t>Harry Kane (A)</t>
  </si>
  <si>
    <t>Castello Lukeba (A)</t>
  </si>
  <si>
    <t>Joakim Maehle (A)</t>
  </si>
  <si>
    <t xml:space="preserve">Frans Krätzig </t>
  </si>
  <si>
    <t>Samuel Bamba</t>
  </si>
  <si>
    <t>David Mamutovic</t>
  </si>
  <si>
    <t>Leon Opitz</t>
  </si>
  <si>
    <t>Danilo Soares (A)</t>
  </si>
  <si>
    <t>Moritz Römling</t>
  </si>
  <si>
    <t>Mats Pannewig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</si>
  <si>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</si>
  <si>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</si>
  <si>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</si>
  <si>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</si>
  <si>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</si>
  <si>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</si>
  <si>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</si>
  <si>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</si>
  <si>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</si>
  <si>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</si>
  <si>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</si>
  <si>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</si>
  <si>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</si>
  <si>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</si>
  <si>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</si>
  <si>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</si>
  <si>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</si>
  <si>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</si>
  <si>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</si>
  <si>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</si>
  <si>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</si>
  <si>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</si>
  <si>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</si>
  <si>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</si>
  <si>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</si>
  <si>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</si>
  <si>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</si>
  <si>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</si>
  <si>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</si>
  <si>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</si>
  <si>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</si>
  <si>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</si>
  <si>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</si>
  <si>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</si>
  <si>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</si>
  <si>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</si>
  <si>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</si>
  <si>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</si>
  <si>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</si>
  <si>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</si>
  <si>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Diadie Samassékou (A)</t>
  </si>
  <si>
    <t>Omar Haktab Traoré</t>
  </si>
  <si>
    <t>Eren Sami Dinkçi</t>
  </si>
  <si>
    <t>Luka Janeš</t>
  </si>
  <si>
    <t>Jovan Milošević (A)</t>
  </si>
  <si>
    <t>Tomáš Koubek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</si>
  <si>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</si>
  <si>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</si>
  <si>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</si>
  <si>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</si>
  <si>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</si>
  <si>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</si>
  <si>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</si>
  <si>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</si>
  <si>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</si>
  <si>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</si>
  <si>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Luke Grauer</t>
  </si>
  <si>
    <t>Niels Nkounkou (A)</t>
  </si>
  <si>
    <t>Nnamdi Collins</t>
  </si>
  <si>
    <t>Sidney Raebiger</t>
  </si>
  <si>
    <t>Amin Sarr (A)</t>
  </si>
  <si>
    <t>Bambasé Conté</t>
  </si>
  <si>
    <t>Olivier Deman (A)</t>
  </si>
  <si>
    <t>Gonçalo Paciênca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</si>
  <si>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</si>
  <si>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</si>
  <si>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</si>
  <si>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</si>
  <si>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</si>
  <si>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</si>
  <si>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</si>
  <si>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</si>
  <si>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Max Schmitt</t>
  </si>
  <si>
    <t>Luca Denk</t>
  </si>
  <si>
    <t>Lovro Zvonarek (A)</t>
  </si>
  <si>
    <t>Noel Aeko Nkili</t>
  </si>
  <si>
    <t>Taichi Fukui (A)</t>
  </si>
  <si>
    <t>Hendry Blank</t>
  </si>
  <si>
    <t>Guille Bueno (A)</t>
  </si>
  <si>
    <t>Paris Brunner</t>
  </si>
  <si>
    <t>Tim Köhler</t>
  </si>
  <si>
    <t>Oluwaseun Ogdemudia</t>
  </si>
  <si>
    <t>Niklas Sauter</t>
  </si>
  <si>
    <t>Jaaso Jantunen (A)</t>
  </si>
  <si>
    <t>Ryan Johansson (A)</t>
  </si>
  <si>
    <t>Nils Ramming</t>
  </si>
  <si>
    <t>Kofi Amoako</t>
  </si>
  <si>
    <t>Lasse Wilhelm</t>
  </si>
  <si>
    <t>Marcel Müller</t>
  </si>
  <si>
    <t>Spyros Angelidis (A)</t>
  </si>
  <si>
    <t>Cimo Röcker</t>
  </si>
  <si>
    <t>Samuele Di Benedetto</t>
  </si>
  <si>
    <t>Eljif Elmans (A)</t>
  </si>
  <si>
    <t>Donny van de Beek (A)</t>
  </si>
  <si>
    <t>Saša Kalajdžić (A)</t>
  </si>
  <si>
    <t>Ritzy Hülsmann</t>
  </si>
  <si>
    <t>Eric Dier (A)</t>
  </si>
  <si>
    <t>Ian Maatsen (A)</t>
  </si>
  <si>
    <t>Jadon Sancho (A)</t>
  </si>
  <si>
    <t>Yannick Eduardo (A)</t>
  </si>
  <si>
    <t>Francis Onyeka</t>
  </si>
  <si>
    <t>Justin Diehl</t>
  </si>
  <si>
    <t>Moussa Cissé (A)</t>
  </si>
  <si>
    <t>Raul Paula</t>
  </si>
  <si>
    <t>Gerrit Holtmann</t>
  </si>
  <si>
    <t>Julián Malatini (A)</t>
  </si>
  <si>
    <t>Shio Fukuda (A)</t>
  </si>
  <si>
    <t>Chris Bedia (A)</t>
  </si>
  <si>
    <t>David Jurasek (A)</t>
  </si>
  <si>
    <t>Alejandro Grimaldo (A)</t>
  </si>
  <si>
    <t>Florent Muslija</t>
  </si>
  <si>
    <t>Meiko Wäschenbach</t>
  </si>
  <si>
    <t>Sacha Boey (A)</t>
  </si>
  <si>
    <t>Adam Aznou (A)</t>
  </si>
  <si>
    <t>Nuha Jatta</t>
  </si>
  <si>
    <t>Borja Iglesias (A)</t>
  </si>
  <si>
    <t>Jean-Matteo Bahoya (A)</t>
  </si>
  <si>
    <t>Andreas Luthe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</si>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</sst>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Rueckrunde%202023_2024.xlsx" TargetMode="External"/><Relationship Id="rId1" Type="http://schemas.openxmlformats.org/officeDocument/2006/relationships/externalLinkPath" Target="Auswechselungen%20Rueck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A5" t="str">
            <v>Heidenheim</v>
          </cell>
          <cell r="B5" t="str">
            <v>Dortmund</v>
          </cell>
          <cell r="D5">
            <v>1</v>
          </cell>
          <cell r="E5">
            <v>3</v>
          </cell>
          <cell r="H5">
            <v>1</v>
          </cell>
          <cell r="I5">
            <v>3</v>
          </cell>
          <cell r="L5">
            <v>1</v>
          </cell>
          <cell r="M5">
            <v>3</v>
          </cell>
          <cell r="P5">
            <v>1</v>
          </cell>
          <cell r="Q5">
            <v>3</v>
          </cell>
          <cell r="T5">
            <v>1</v>
          </cell>
          <cell r="U5">
            <v>3</v>
          </cell>
        </row>
        <row r="6">
          <cell r="A6" t="str">
            <v>Leipzig</v>
          </cell>
          <cell r="B6" t="str">
            <v>Union Berlin</v>
          </cell>
          <cell r="D6">
            <v>2</v>
          </cell>
          <cell r="E6">
            <v>1</v>
          </cell>
          <cell r="H6">
            <v>2</v>
          </cell>
          <cell r="I6">
            <v>1</v>
          </cell>
          <cell r="L6">
            <v>2</v>
          </cell>
          <cell r="M6">
            <v>1</v>
          </cell>
          <cell r="P6">
            <v>2</v>
          </cell>
          <cell r="Q6">
            <v>1</v>
          </cell>
          <cell r="T6">
            <v>2</v>
          </cell>
          <cell r="U6">
            <v>0</v>
          </cell>
        </row>
        <row r="7">
          <cell r="A7" t="str">
            <v>Darmstadt</v>
          </cell>
          <cell r="B7" t="str">
            <v>Leverkusen</v>
          </cell>
          <cell r="D7">
            <v>0</v>
          </cell>
          <cell r="E7">
            <v>3</v>
          </cell>
          <cell r="H7">
            <v>0</v>
          </cell>
          <cell r="I7">
            <v>3</v>
          </cell>
          <cell r="L7">
            <v>1</v>
          </cell>
          <cell r="M7">
            <v>3</v>
          </cell>
          <cell r="P7">
            <v>0</v>
          </cell>
          <cell r="Q7">
            <v>3</v>
          </cell>
          <cell r="T7">
            <v>1</v>
          </cell>
          <cell r="U7">
            <v>3</v>
          </cell>
        </row>
        <row r="8">
          <cell r="A8" t="str">
            <v>Köln</v>
          </cell>
          <cell r="B8" t="str">
            <v>Frankfurt</v>
          </cell>
          <cell r="D8">
            <v>2</v>
          </cell>
          <cell r="E8">
            <v>1</v>
          </cell>
          <cell r="H8">
            <v>2</v>
          </cell>
          <cell r="I8">
            <v>1</v>
          </cell>
          <cell r="L8">
            <v>1</v>
          </cell>
          <cell r="M8">
            <v>2</v>
          </cell>
          <cell r="P8">
            <v>2</v>
          </cell>
          <cell r="Q8">
            <v>1</v>
          </cell>
          <cell r="T8">
            <v>1</v>
          </cell>
          <cell r="U8">
            <v>2</v>
          </cell>
        </row>
        <row r="9">
          <cell r="A9" t="str">
            <v>München</v>
          </cell>
          <cell r="B9" t="str">
            <v>M'gladbach</v>
          </cell>
          <cell r="D9">
            <v>3</v>
          </cell>
          <cell r="E9">
            <v>1</v>
          </cell>
          <cell r="H9">
            <v>3</v>
          </cell>
          <cell r="I9">
            <v>1</v>
          </cell>
          <cell r="L9">
            <v>3</v>
          </cell>
          <cell r="M9">
            <v>1</v>
          </cell>
          <cell r="P9">
            <v>3</v>
          </cell>
          <cell r="Q9">
            <v>1</v>
          </cell>
          <cell r="T9">
            <v>3</v>
          </cell>
          <cell r="U9">
            <v>1</v>
          </cell>
        </row>
        <row r="10">
          <cell r="A10" t="str">
            <v>Wolfsburg</v>
          </cell>
          <cell r="B10" t="str">
            <v>Hoffenheim</v>
          </cell>
          <cell r="D10">
            <v>1</v>
          </cell>
          <cell r="E10">
            <v>2</v>
          </cell>
          <cell r="H10">
            <v>1</v>
          </cell>
          <cell r="I10">
            <v>2</v>
          </cell>
          <cell r="L10">
            <v>2</v>
          </cell>
          <cell r="M10">
            <v>1</v>
          </cell>
          <cell r="P10">
            <v>1</v>
          </cell>
          <cell r="Q10">
            <v>2</v>
          </cell>
          <cell r="T10">
            <v>2</v>
          </cell>
          <cell r="U10">
            <v>1</v>
          </cell>
        </row>
        <row r="11">
          <cell r="A11" t="str">
            <v>Mainz</v>
          </cell>
          <cell r="B11" t="str">
            <v>Bremen</v>
          </cell>
          <cell r="D11">
            <v>1</v>
          </cell>
          <cell r="E11">
            <v>1</v>
          </cell>
          <cell r="H11">
            <v>1</v>
          </cell>
          <cell r="I11">
            <v>1</v>
          </cell>
          <cell r="L11">
            <v>1</v>
          </cell>
          <cell r="M11">
            <v>1</v>
          </cell>
          <cell r="P11">
            <v>1</v>
          </cell>
          <cell r="Q11">
            <v>1</v>
          </cell>
          <cell r="T11">
            <v>2</v>
          </cell>
          <cell r="U11">
            <v>1</v>
          </cell>
        </row>
        <row r="12">
          <cell r="A12" t="str">
            <v>Bochum</v>
          </cell>
          <cell r="B12" t="str">
            <v>Augsburg</v>
          </cell>
          <cell r="D12">
            <v>1</v>
          </cell>
          <cell r="E12">
            <v>1</v>
          </cell>
          <cell r="H12">
            <v>1</v>
          </cell>
          <cell r="I12">
            <v>1</v>
          </cell>
          <cell r="L12">
            <v>2</v>
          </cell>
          <cell r="M12">
            <v>1</v>
          </cell>
          <cell r="P12">
            <v>1</v>
          </cell>
          <cell r="Q12">
            <v>1</v>
          </cell>
          <cell r="T12">
            <v>2</v>
          </cell>
          <cell r="U12">
            <v>1</v>
          </cell>
        </row>
        <row r="13">
          <cell r="A13" t="str">
            <v>Freiburg</v>
          </cell>
          <cell r="B13" t="str">
            <v>Stuttgart</v>
          </cell>
          <cell r="D13">
            <v>2</v>
          </cell>
          <cell r="E13">
            <v>1</v>
          </cell>
          <cell r="H13">
            <v>2</v>
          </cell>
          <cell r="I13">
            <v>1</v>
          </cell>
          <cell r="L13">
            <v>2</v>
          </cell>
          <cell r="M13">
            <v>1</v>
          </cell>
          <cell r="P13">
            <v>2</v>
          </cell>
          <cell r="Q13">
            <v>1</v>
          </cell>
          <cell r="T13">
            <v>2</v>
          </cell>
          <cell r="U13">
            <v>1</v>
          </cell>
        </row>
        <row r="20">
          <cell r="D20">
            <v>1</v>
          </cell>
          <cell r="E20">
            <v>3</v>
          </cell>
          <cell r="H20">
            <v>1</v>
          </cell>
          <cell r="I20">
            <v>3</v>
          </cell>
          <cell r="L20">
            <v>1</v>
          </cell>
          <cell r="M20">
            <v>2</v>
          </cell>
          <cell r="P20">
            <v>1</v>
          </cell>
          <cell r="Q20">
            <v>3</v>
          </cell>
        </row>
        <row r="21">
          <cell r="D21">
            <v>2</v>
          </cell>
          <cell r="E21">
            <v>0</v>
          </cell>
          <cell r="H21">
            <v>2</v>
          </cell>
          <cell r="I21">
            <v>0</v>
          </cell>
          <cell r="L21">
            <v>2</v>
          </cell>
          <cell r="M21">
            <v>0</v>
          </cell>
          <cell r="P21">
            <v>2</v>
          </cell>
          <cell r="Q21">
            <v>1</v>
          </cell>
        </row>
        <row r="22">
          <cell r="D22">
            <v>1</v>
          </cell>
          <cell r="E22">
            <v>3</v>
          </cell>
          <cell r="H22">
            <v>1</v>
          </cell>
          <cell r="I22">
            <v>3</v>
          </cell>
          <cell r="L22">
            <v>1</v>
          </cell>
          <cell r="M22">
            <v>3</v>
          </cell>
          <cell r="P22">
            <v>0</v>
          </cell>
          <cell r="Q22">
            <v>3</v>
          </cell>
        </row>
        <row r="23">
          <cell r="D23">
            <v>1</v>
          </cell>
          <cell r="E23">
            <v>2</v>
          </cell>
          <cell r="H23">
            <v>1</v>
          </cell>
          <cell r="I23">
            <v>2</v>
          </cell>
          <cell r="L23">
            <v>1</v>
          </cell>
          <cell r="M23">
            <v>1</v>
          </cell>
          <cell r="P23">
            <v>0</v>
          </cell>
          <cell r="Q23">
            <v>2</v>
          </cell>
        </row>
        <row r="24">
          <cell r="D24">
            <v>3</v>
          </cell>
          <cell r="E24">
            <v>1</v>
          </cell>
          <cell r="H24">
            <v>3</v>
          </cell>
          <cell r="I24">
            <v>1</v>
          </cell>
          <cell r="L24">
            <v>3</v>
          </cell>
          <cell r="M24">
            <v>1</v>
          </cell>
          <cell r="P24">
            <v>3</v>
          </cell>
          <cell r="Q24">
            <v>0</v>
          </cell>
        </row>
        <row r="25">
          <cell r="D25">
            <v>2</v>
          </cell>
          <cell r="E25">
            <v>1</v>
          </cell>
          <cell r="H25">
            <v>2</v>
          </cell>
          <cell r="I25">
            <v>1</v>
          </cell>
          <cell r="L25">
            <v>2</v>
          </cell>
          <cell r="M25">
            <v>1</v>
          </cell>
          <cell r="P25">
            <v>2</v>
          </cell>
          <cell r="Q25">
            <v>1</v>
          </cell>
        </row>
        <row r="26">
          <cell r="D26">
            <v>2</v>
          </cell>
          <cell r="E26">
            <v>1</v>
          </cell>
          <cell r="H26">
            <v>2</v>
          </cell>
          <cell r="I26">
            <v>1</v>
          </cell>
          <cell r="L26">
            <v>2</v>
          </cell>
          <cell r="M26">
            <v>1</v>
          </cell>
          <cell r="P26">
            <v>0</v>
          </cell>
          <cell r="Q26">
            <v>0</v>
          </cell>
        </row>
        <row r="27">
          <cell r="D27">
            <v>2</v>
          </cell>
          <cell r="E27">
            <v>1</v>
          </cell>
          <cell r="H27">
            <v>2</v>
          </cell>
          <cell r="I27">
            <v>1</v>
          </cell>
          <cell r="L27">
            <v>2</v>
          </cell>
          <cell r="M27">
            <v>1</v>
          </cell>
          <cell r="P27">
            <v>1</v>
          </cell>
          <cell r="Q27">
            <v>1</v>
          </cell>
        </row>
        <row r="28">
          <cell r="D28">
            <v>2</v>
          </cell>
          <cell r="E28">
            <v>1</v>
          </cell>
          <cell r="H28">
            <v>2</v>
          </cell>
          <cell r="I28">
            <v>1</v>
          </cell>
          <cell r="L28">
            <v>1</v>
          </cell>
          <cell r="M28">
            <v>1</v>
          </cell>
          <cell r="P28">
            <v>1</v>
          </cell>
          <cell r="Q28">
            <v>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33</v>
          </cell>
        </row>
      </sheetData>
      <sheetData sheetId="1">
        <row r="3">
          <cell r="B3">
            <v>33</v>
          </cell>
        </row>
      </sheetData>
      <sheetData sheetId="2">
        <row r="3">
          <cell r="B3">
            <v>34</v>
          </cell>
        </row>
      </sheetData>
      <sheetData sheetId="3">
        <row r="3">
          <cell r="B3">
            <v>33</v>
          </cell>
        </row>
      </sheetData>
      <sheetData sheetId="4">
        <row r="3">
          <cell r="B3">
            <v>30</v>
          </cell>
        </row>
      </sheetData>
      <sheetData sheetId="5">
        <row r="3">
          <cell r="B3">
            <v>31</v>
          </cell>
        </row>
      </sheetData>
      <sheetData sheetId="6">
        <row r="3">
          <cell r="B3">
            <v>32</v>
          </cell>
        </row>
      </sheetData>
      <sheetData sheetId="7">
        <row r="3">
          <cell r="B3">
            <v>35</v>
          </cell>
        </row>
      </sheetData>
      <sheetData sheetId="8">
        <row r="3">
          <cell r="B3">
            <v>30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Heidenheim</v>
      </c>
      <c r="B1" s="2" t="str">
        <f>Auswertung!E1</f>
        <v>Dortmund</v>
      </c>
      <c r="C1" s="3">
        <f>Auswertung!I1</f>
        <v>0</v>
      </c>
      <c r="D1" s="4">
        <f>Auswertung!J1</f>
        <v>0</v>
      </c>
    </row>
    <row r="2" spans="1:6" x14ac:dyDescent="0.2">
      <c r="A2" s="1" t="str">
        <f>Auswertung!D2</f>
        <v>Leipzig</v>
      </c>
      <c r="B2" s="2" t="str">
        <f>Auswertung!E2</f>
        <v>Union Berlin</v>
      </c>
      <c r="C2" s="3">
        <f>Auswertung!I2</f>
        <v>2</v>
      </c>
      <c r="D2" s="4">
        <f>Auswertung!J2</f>
        <v>0</v>
      </c>
    </row>
    <row r="3" spans="1:6" x14ac:dyDescent="0.2">
      <c r="A3" s="1" t="str">
        <f>Auswertung!D3</f>
        <v>Darmstadt</v>
      </c>
      <c r="B3" s="2" t="str">
        <f>Auswertung!E3</f>
        <v>Leverkusen</v>
      </c>
      <c r="C3" s="3">
        <f>Auswertung!I3</f>
        <v>0</v>
      </c>
      <c r="D3" s="4">
        <f>Auswertung!J3</f>
        <v>2</v>
      </c>
    </row>
    <row r="4" spans="1:6" x14ac:dyDescent="0.2">
      <c r="A4" s="1" t="str">
        <f>Auswertung!D4</f>
        <v>Köln</v>
      </c>
      <c r="B4" s="2" t="str">
        <f>Auswertung!E4</f>
        <v>Frankfurt</v>
      </c>
      <c r="C4" s="3">
        <f>Auswertung!I4</f>
        <v>2</v>
      </c>
      <c r="D4" s="4">
        <f>Auswertung!J4</f>
        <v>0</v>
      </c>
    </row>
    <row r="5" spans="1:6" x14ac:dyDescent="0.2">
      <c r="A5" s="1" t="str">
        <f>Auswertung!D5</f>
        <v>München</v>
      </c>
      <c r="B5" s="2" t="str">
        <f>Auswertung!E5</f>
        <v>M'gladbach</v>
      </c>
      <c r="C5" s="3">
        <f>Auswertung!I5</f>
        <v>3</v>
      </c>
      <c r="D5" s="4">
        <f>Auswertung!J5</f>
        <v>1</v>
      </c>
    </row>
    <row r="6" spans="1:6" x14ac:dyDescent="0.2">
      <c r="A6" s="1" t="str">
        <f>Auswertung!D6</f>
        <v>Wolfsburg</v>
      </c>
      <c r="B6" s="2" t="str">
        <f>Auswertung!E6</f>
        <v>Hoffenheim</v>
      </c>
      <c r="C6" s="3">
        <f>Auswertung!I6</f>
        <v>2</v>
      </c>
      <c r="D6" s="4">
        <f>Auswertung!J6</f>
        <v>2</v>
      </c>
    </row>
    <row r="7" spans="1:6" x14ac:dyDescent="0.2">
      <c r="A7" s="1" t="str">
        <f>Auswertung!D7</f>
        <v>Mainz</v>
      </c>
      <c r="B7" s="2" t="str">
        <f>Auswertung!E7</f>
        <v>Bremen</v>
      </c>
      <c r="C7" s="3">
        <f>Auswertung!I7</f>
        <v>0</v>
      </c>
      <c r="D7" s="4">
        <f>Auswertung!J7</f>
        <v>1</v>
      </c>
    </row>
    <row r="8" spans="1:6" x14ac:dyDescent="0.2">
      <c r="A8" s="1" t="str">
        <f>Auswertung!D8</f>
        <v>Bochum</v>
      </c>
      <c r="B8" s="2" t="str">
        <f>Auswertung!E8</f>
        <v>Augsburg</v>
      </c>
      <c r="C8" s="3">
        <f>Auswertung!I8</f>
        <v>1</v>
      </c>
      <c r="D8" s="4">
        <f>Auswertung!J8</f>
        <v>1</v>
      </c>
    </row>
    <row r="9" spans="1:6" x14ac:dyDescent="0.2">
      <c r="A9" s="1" t="str">
        <f>Auswertung!D9</f>
        <v>Freiburg</v>
      </c>
      <c r="B9" s="2" t="str">
        <f>Auswertung!E9</f>
        <v>Stuttgart</v>
      </c>
      <c r="C9" s="3">
        <f>Auswertung!I9</f>
        <v>1</v>
      </c>
      <c r="D9" s="4">
        <f>Auswertung!J9</f>
        <v>3</v>
      </c>
    </row>
    <row r="12" spans="1:6" x14ac:dyDescent="0.2">
      <c r="A12" s="6" t="s">
        <v>49</v>
      </c>
      <c r="B12" s="6">
        <f t="shared" ref="B12:B47" si="0">SUM(C12:E12)</f>
        <v>3</v>
      </c>
      <c r="C12" s="6">
        <f>IF($A$1="München",$C$1,IF($A$2="München",$C$2,IF($A$3="München",$C$3,IF($A$4="München",$C$4,IF($A$5="München",$C$5,IF($A$6="München",$C$6,IF($A$7="München",$C$7,IF($A$7="München",$C$7,""))))))))</f>
        <v>3</v>
      </c>
      <c r="D12" s="6" t="str">
        <f>IF($A$8="München",$C$8,IF($A$9="München",$C$9,IF($B$1="München",$D$1,IF($B$2="München",$D$2,IF($B$3="München",$D$3,IF($B$4="München",$D$4,IF($B$5="München",$D$5,IF($B$6="München",$D$6,""))))))))</f>
        <v/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1</v>
      </c>
      <c r="C13" s="7">
        <f>IF($A$1="München",$D$1,IF($A$2="München",$D$2,IF($A$3="München",$D$3,IF($A$4="München",$D$4,IF($A$5="München",$D$5,IF($A$6="München",$D$6,IF($A$7="München",$D$7,IF($A$7="München",$D$7,""))))))))</f>
        <v>1</v>
      </c>
      <c r="D13" s="7" t="str">
        <f>IF($A$8="München",$D$8,IF($A$9="München",$D$9,IF($B$1="München",$C$1,IF($B$2="München",$C$2,IF($B$3="München",$C$3,IF($B$4="München",$C$4,IF($B$5="München",$C$5,IF($B$6="München",$C$6,""))))))))</f>
        <v/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320</v>
      </c>
      <c r="B14" s="6">
        <f t="shared" si="0"/>
        <v>1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 t="str">
        <f>IF($A$8="Bremen",$C$8,IF($A$9="Bremen",$C$9,IF($B$1="Bremen",$D$1,IF($B$2="Bremen",$D$2,IF($B$3="Bremen",$D$3,IF($B$4="Bremen",$D$4,IF($B$5="Bremen",$D$5,IF($B$6="Bremen",$D$6,""))))))))</f>
        <v/>
      </c>
      <c r="E14" s="6">
        <f>IF($B$7="Bremen",$D$7,IF($B$8="Bremen",$D$8,IF($B$9="Bremen",$D$9,"")))</f>
        <v>1</v>
      </c>
      <c r="F14" s="6"/>
    </row>
    <row r="15" spans="1:6" ht="13.5" thickBot="1" x14ac:dyDescent="0.25">
      <c r="A15" s="7" t="s">
        <v>321</v>
      </c>
      <c r="B15" s="7">
        <f t="shared" si="0"/>
        <v>0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 t="str">
        <f>IF($A$8="Bremen",$D$8,IF($A$9="Bremen",$D$9,IF($B$1="Bremen",$C$1,IF($B$2="Bremen",$C$2,IF($B$3="Bremen",$C$3,IF($B$4="Bremen",$C$4,IF($B$5="Bremen",$C$5,IF($B$6="Bremen",$C$6,""))))))))</f>
        <v/>
      </c>
      <c r="E15" s="7">
        <f>IF($B$7="Bremen",$C$7,IF($B$8="Bremen",$C$8,IF($B$9="Bremen",$C$9,"")))</f>
        <v>0</v>
      </c>
      <c r="F15" s="6"/>
    </row>
    <row r="16" spans="1:6" x14ac:dyDescent="0.2">
      <c r="A16" s="6" t="s">
        <v>34</v>
      </c>
      <c r="B16" s="6">
        <f t="shared" si="0"/>
        <v>0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>
        <f>IF($A$8="Dortmund",$C$8,IF($A$9="Dortmund",$C$9,IF($B$1="Dortmund",$D$1,IF($B$2="Dortmund",$D$2,IF($B$3="Dortmund",$D$3,IF($B$4="Dortmund",$D$4,IF($B$5="Dortmund",$D$5,IF($B$6="Dortmund",$D$6,""))))))))</f>
        <v>0</v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0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>
        <f>IF($A$8="Dortmund",$D$8,IF($A$9="Dortmund",$D$9,IF($B$1="Dortmund",$C$1,IF($B$2="Dortmund",$C$2,IF($B$3="Dortmund",$C$3,IF($B$4="Dortmund",$C$4,IF($B$5="Dortmund",$C$5,IF($B$6="Dortmund",$C$6,""))))))))</f>
        <v>0</v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2</v>
      </c>
      <c r="C18" s="6" t="str">
        <f>IF($A$1="Leverkusen",$C$1,IF($A$2="Leverkusen",$C$2,IF($A$3="Leverkusen",$C$3,IF($A$4="Leverkusen",$C$4,IF($A$5="Leverkusen",$C$5,IF($A$6="Leverkusen",$C$6,IF($A$7="Leverkusen",$C$7,IF($A$7="Leverkusen",$C$7,""))))))))</f>
        <v/>
      </c>
      <c r="D18" s="6">
        <f>IF($A$8="Leverkusen",$C$8,IF($A$9="Leverkusen",$C$9,IF($B$1="Leverkusen",$D$1,IF($B$2="Leverkusen",$D$2,IF($B$3="Leverkusen",$D$3,IF($B$4="Leverkusen",$D$4,IF($B$5="Leverkusen",$D$5,IF($B$6="Leverkusen",$D$6,""))))))))</f>
        <v>2</v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0</v>
      </c>
      <c r="C19" s="7" t="str">
        <f>IF($A$1="Leverkusen",$D$1,IF($A$2="Leverkusen",$D$2,IF($A$3="Leverkusen",$D$3,IF($A$4="Leverkusen",$D$4,IF($A$5="Leverkusen",$D$5,IF($A$6="Leverkusen",$D$6,IF($A$7="Leverkusen",$D$7,IF($A$7="Leverkusen",$D$7,""))))))))</f>
        <v/>
      </c>
      <c r="D19" s="7">
        <f>IF($A$8="Leverkusen",$D$8,IF($A$9="Leverkusen",$D$9,IF($B$1="Leverkusen",$C$1,IF($B$2="Leverkusen",$C$2,IF($B$3="Leverkusen",$C$3,IF($B$4="Leverkusen",$C$4,IF($B$5="Leverkusen",$C$5,IF($B$6="Leverkusen",$C$6,""))))))))</f>
        <v>0</v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404</v>
      </c>
      <c r="B20" s="6">
        <f t="shared" si="0"/>
        <v>0</v>
      </c>
      <c r="C20" s="6">
        <f>IF($A$1="Darmstadt",$C$1,IF($A$2="Darmstadt",$C$2,IF($A$3="Darmstadt",$C$3,IF($A$4="Darmstadt",$C$4,IF($A$5="Darmstadt",$C$5,IF($A$6="Darmstadt",$C$6,IF($A$7="Darmstadt",$C$7,IF($A$7="Darmstadt",$C$7,""))))))))</f>
        <v>0</v>
      </c>
      <c r="D20" s="6" t="str">
        <f>IF($A$8="Darmstadt",$C$8,IF($A$9="Darmstadt",$C$9,IF($B$1="Darmstadt",$D$1,IF($B$2="Darmstadt",$D$2,IF($B$3="Darmstadt",$D$3,IF($B$4="Darmstadt",$D$4,IF($B$5="Darmstadt",$D$5,IF($B$6="Darmstadt",$D$6,""))))))))</f>
        <v/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405</v>
      </c>
      <c r="B21" s="7">
        <f t="shared" si="0"/>
        <v>2</v>
      </c>
      <c r="C21" s="7">
        <f>IF($A$1="Darmstadt",$D$1,IF($A$2="Darmstadt",$D$2,IF($A$3="Darmstadt",$D$3,IF($A$4="Darmstadt",$D$4,IF($A$5="Darmstadt",$D$5,IF($A$6="Darmstadt",$D$6,IF($A$7="Darmstadt",$D$7,IF($A$7="Darmstadt",$D$7,""))))))))</f>
        <v>2</v>
      </c>
      <c r="D21" s="7" t="str">
        <f>IF($A$8="Darmstadt",$D$8,IF($A$9="Darmstadt",$D$9,IF($B$1="Darmstadt",$C$1,IF($B$2="Darmstadt",$C$2,IF($B$3="Darmstadt",$C$3,IF($B$4="Darmstadt",$C$4,IF($B$5="Darmstadt",$C$5,IF($B$6="Darmstadt",$C$6,""))))))))</f>
        <v/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2</v>
      </c>
      <c r="C22" s="6">
        <f>IF($A$1="Leipzig",$C$1,IF($A$2="Leipzig",$C$2,IF($A$3="Leipzig",$C$3,IF($A$4="Leipzig",$C$4,IF($A$5="Leipzig",$C$5,IF($A$6="Leipzig",$C$6,IF($A$7="Leipzig",$C$7,IF($A$7="Leipzig",$C$7,""))))))))</f>
        <v>2</v>
      </c>
      <c r="D22" s="6" t="str">
        <f>IF($A$8="Leipzig",$C$8,IF($A$9="Leipzig",$C$9,IF($B$1="Leipzig",$D$1,IF($B$2="Leipzig",$D$2,IF($B$3="Leipzig",$D$3,IF($B$4="Leipzig",$D$4,IF($B$5="Leipzig",$D$5,IF($B$6="Leipzig",$D$6,""))))))))</f>
        <v/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0</v>
      </c>
      <c r="C23" s="7">
        <f>IF($A$1="Leipzig",$D$1,IF($A$2="Leipzig",$D$2,IF($A$3="Leipzig",$D$3,IF($A$4="Leipzig",$D$4,IF($A$5="Leipzig",$D$5,IF($A$6="Leipzig",$D$6,IF($A$7="Leipzig",$D$7,IF($A$7="Leipzig",$D$7,""))))))))</f>
        <v>0</v>
      </c>
      <c r="D23" s="7" t="str">
        <f>IF($A$8="Leipzig",$D$8,IF($A$9="Leipzig",$D$9,IF($B$1="Leipzig",$C$1,IF($B$2="Leipzig",$C$2,IF($B$3="Leipzig",$C$3,IF($B$4="Leipzig",$C$4,IF($B$5="Leipzig",$C$5,IF($B$6="Leipzig",$C$6,""))))))))</f>
        <v/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262</v>
      </c>
      <c r="B24" s="6">
        <f t="shared" si="0"/>
        <v>1</v>
      </c>
      <c r="C24" s="6" t="str">
        <f>IF($A$1="Bochum",$C$1,IF($A$2="Bochum",$C$2,IF($A$3="Bochum",$C$3,IF($A$4="Bochum",$C$4,IF($A$5="Bochum",$C$5,IF($A$6="Bochum",$C$6,IF($A$7="Bochum",$C$7,IF($A$7="Bochum",$C$7,""))))))))</f>
        <v/>
      </c>
      <c r="D24" s="6">
        <f>IF($A$8="Bochum",$C$8,IF($A$9="Bochum",$C$9,IF($B$1="Bochum",$D$1,IF($B$2="Bochum",$D$2,IF($B$3="Bochum",$D$3,IF($B$4="Bochum",$D$4,IF($B$5="Bochum",$D$5,IF($B$6="Bochum",$D$6,""))))))))</f>
        <v>1</v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263</v>
      </c>
      <c r="B25" s="7">
        <f t="shared" si="0"/>
        <v>1</v>
      </c>
      <c r="C25" s="7" t="str">
        <f>IF($A$1="Bochum",$D$1,IF($A$2="Bochum",$D$2,IF($A$3="Bochum",$D$3,IF($A$4="Bochum",$D$4,IF($A$5="Bochum",$D$5,IF($A$6="Bochum",$D$6,IF($A$7="Bochum",$D$7,IF($A$7="Bochum",$D$7,""))))))))</f>
        <v/>
      </c>
      <c r="D25" s="7">
        <f>IF($A$8="Bochum",$D$8,IF($A$9="Bochum",$D$9,IF($B$1="Bochum",$C$1,IF($B$2="Bochum",$C$2,IF($B$3="Bochum",$C$3,IF($B$4="Bochum",$C$4,IF($B$5="Bochum",$C$5,IF($B$6="Bochum",$C$6,""))))))))</f>
        <v>1</v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227</v>
      </c>
      <c r="B26" s="6">
        <f t="shared" si="0"/>
        <v>3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 t="str">
        <f>IF($A$8="Stuttgart",$C$8,IF($A$9="Stuttgart",$C$9,IF($B$1="Stuttgart",$D$1,IF($B$2="Stuttgart",$D$2,IF($B$3="Stuttgart",$D$3,IF($B$4="Stuttgart",$D$4,IF($B$5="Stuttgart",$D$5,IF($B$6="Stuttgart",$D$6,""))))))))</f>
        <v/>
      </c>
      <c r="E26" s="6">
        <f>IF($B$7="Stuttgart",$D$7,IF($B$8="Stuttgart",$D$8,IF($B$9="Stuttgart",$D$9,"")))</f>
        <v>3</v>
      </c>
      <c r="F26" s="6"/>
    </row>
    <row r="27" spans="1:6" ht="13.5" thickBot="1" x14ac:dyDescent="0.25">
      <c r="A27" s="7" t="s">
        <v>228</v>
      </c>
      <c r="B27" s="7">
        <f t="shared" si="0"/>
        <v>1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 t="str">
        <f>IF($A$8="Stuttgart",$D$8,IF($A$9="Stuttgart",$D$9,IF($B$1="Stuttgart",$C$1,IF($B$2="Stuttgart",$C$2,IF($B$3="Stuttgart",$C$3,IF($B$4="Stuttgart",$C$4,IF($B$5="Stuttgart",$C$5,IF($B$6="Stuttgart",$C$6,""))))))))</f>
        <v/>
      </c>
      <c r="E27" s="7">
        <f>IF($B$7="Stuttgart",$C$7,IF($B$8="Stuttgart",$C$8,IF($B$9="Stuttgart",$C$9,"")))</f>
        <v>1</v>
      </c>
      <c r="F27" s="6"/>
    </row>
    <row r="28" spans="1:6" x14ac:dyDescent="0.2">
      <c r="A28" s="6" t="s">
        <v>39</v>
      </c>
      <c r="B28" s="6">
        <f t="shared" si="0"/>
        <v>2</v>
      </c>
      <c r="C28" s="6">
        <f>IF($A$1="Wolfsburg",$C$1,IF($A$2="Wolfsburg",$C$2,IF($A$3="Wolfsburg",$C$3,IF($A$4="Wolfsburg",$C$4,IF($A$5="Wolfsburg",$C$5,IF($A$6="Wolfsburg",$C$6,IF($A$7="Wolfsburg",$C$7,IF($A$7="Wolfsburg",$C$7,""))))))))</f>
        <v>2</v>
      </c>
      <c r="D28" s="6" t="str">
        <f>IF($A$8="Wolfsburg",$C$8,IF($A$9="Wolfsburg",$C$9,IF($B$1="Wolfsburg",$D$1,IF($B$2="Wolfsburg",$D$2,IF($B$3="Wolfsburg",$D$3,IF($B$4="Wolfsburg",$D$4,IF($B$5="Wolfsburg",$D$5,IF($B$6="Wolfsburg",$D$6,""))))))))</f>
        <v/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2</v>
      </c>
      <c r="C29" s="7">
        <f>IF($A$1="Wolfsburg",$D$1,IF($A$2="Wolfsburg",$D$2,IF($A$3="Wolfsburg",$D$3,IF($A$4="Wolfsburg",$D$4,IF($A$5="Wolfsburg",$D$5,IF($A$6="Wolfsburg",$D$6,IF($A$7="Wolfsburg",$D$7,IF($A$7="Wolfsburg",$D$7,""))))))))</f>
        <v>2</v>
      </c>
      <c r="D29" s="7" t="str">
        <f>IF($A$8="Wolfsburg",$D$8,IF($A$9="Wolfsburg",$D$9,IF($B$1="Wolfsburg",$C$1,IF($B$2="Wolfsburg",$C$2,IF($B$3="Wolfsburg",$C$3,IF($B$4="Wolfsburg",$C$4,IF($B$5="Wolfsburg",$C$5,IF($B$6="Wolfsburg",$C$6,""))))))))</f>
        <v/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2</v>
      </c>
      <c r="C30" s="6" t="str">
        <f>IF($A$1="Hoffenheim",$C$1,IF($A$2="Hoffenheim",$C$2,IF($A$3="Hoffenheim",$C$3,IF($A$4="Hoffenheim",$C$4,IF($A$5="Hoffenheim",$C$5,IF($A$6="Hoffenheim",$C$6,IF($A$7="Hoffenheim",$C$7,IF($A$7="Hoffenheim",$C$7,""))))))))</f>
        <v/>
      </c>
      <c r="D30" s="6">
        <f>IF($A$8="Hoffenheim",$C$8,IF($A$9="Hoffenheim",$C$9,IF($B$1="Hoffenheim",$D$1,IF($B$2="Hoffenheim",$D$2,IF($B$3="Hoffenheim",$D$3,IF($B$4="Hoffenheim",$D$4,IF($B$5="Hoffenheim",$D$5,IF($B$6="Hoffenheim",$D$6,""))))))))</f>
        <v>2</v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2</v>
      </c>
      <c r="C31" s="7" t="str">
        <f>IF($A$1="Hoffenheim",$D$1,IF($A$2="Hoffenheim",$D$2,IF($A$3="Hoffenheim",$D$3,IF($A$4="Hoffenheim",$D$4,IF($A$5="Hoffenheim",$D$5,IF($A$6="Hoffenheim",$D$6,IF($A$7="Hoffenheim",$D$7,IF($A$7="Hoffenheim",$D$7,""))))))))</f>
        <v/>
      </c>
      <c r="D31" s="7">
        <f>IF($A$8="Hoffenheim",$D$8,IF($A$9="Hoffenheim",$D$9,IF($B$1="Hoffenheim",$C$1,IF($B$2="Hoffenheim",$C$2,IF($B$3="Hoffenheim",$C$3,IF($B$4="Hoffenheim",$C$4,IF($B$5="Hoffenheim",$C$5,IF($B$6="Hoffenheim",$C$6,""))))))))</f>
        <v>2</v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179</v>
      </c>
      <c r="B32" s="6">
        <f t="shared" si="0"/>
        <v>0</v>
      </c>
      <c r="C32" s="6" t="str">
        <f>IF($A$1="Union Berlin",$C$1,IF($A$2="Union Berlin",$C$2,IF($A$3="Union Berlin",$C$3,IF($A$4="Union Berlin",$C$4,IF($A$5="Union Berlin",$C$5,IF($A$6="Union Berlin",$C$6,IF($A$7="Union Berlin",$C$7,IF($A$7="Union Berlin",$C$7,""))))))))</f>
        <v/>
      </c>
      <c r="D32" s="6">
        <f>IF($A$8="Union Berlin",$C$8,IF($A$9="Union Berlin",$C$9,IF($B$1="Union Berlin",$D$1,IF($B$2="Union Berlin",$D$2,IF($B$3="Union Berlin",$D$3,IF($B$4="Union Berlin",$D$4,IF($B$5="Union Berlin",$D$5,IF($B$6="Union Berlin",$D$6,""))))))))</f>
        <v>0</v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180</v>
      </c>
      <c r="B33" s="7">
        <f t="shared" si="0"/>
        <v>2</v>
      </c>
      <c r="C33" s="7" t="str">
        <f>IF($A$1="Union Berlin",$D$1,IF($A$2="Union Berlin",$D$2,IF($A$3="Union Berlin",$D$3,IF($A$4="Union Berlin",$D$4,IF($A$5="Union Berlin",$D$5,IF($A$6="Union Berlin",$D$6,IF($A$7="Union Berlin",$D$7,IF($A$7="Union Berlin",$D$7,""))))))))</f>
        <v/>
      </c>
      <c r="D33" s="7">
        <f>IF($A$8="Union Berlin",$D$8,IF($A$9="Union Berlin",$D$9,IF($B$1="Union Berlin",$C$1,IF($B$2="Union Berlin",$C$2,IF($B$3="Union Berlin",$C$3,IF($B$4="Union Berlin",$C$4,IF($B$5="Union Berlin",$C$5,IF($B$6="Union Berlin",$C$6,""))))))))</f>
        <v>2</v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174</v>
      </c>
      <c r="B34" s="6">
        <f t="shared" si="0"/>
        <v>2</v>
      </c>
      <c r="C34" s="6">
        <f>IF($A$1="Köln",$C$1,IF($A$2="Köln",$C$2,IF($A$3="Köln",$C$3,IF($A$4="Köln",$C$4,IF($A$5="Köln",$C$5,IF($A$6="Köln",$C$6,IF($A$7="Köln",$C$7,IF($A$7="Köln",$C$7,""))))))))</f>
        <v>2</v>
      </c>
      <c r="D34" s="6" t="str">
        <f>IF($A$8="Köln",$C$8,IF($A$9="Köln",$C$9,IF($B$1="Köln",$D$1,IF($B$2="Köln",$D$2,IF($B$3="Köln",$D$3,IF($B$4="Köln",$D$4,IF($B$5="Köln",$D$5,IF($B$6="Köln",$D$6,""))))))))</f>
        <v/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175</v>
      </c>
      <c r="B35" s="7">
        <f t="shared" si="0"/>
        <v>0</v>
      </c>
      <c r="C35" s="7">
        <f>IF($A$1="Köln",$D$1,IF($A$2="Köln",$D$2,IF($A$3="Köln",$D$3,IF($A$4="Köln",$D$4,IF($A$5="Köln",$D$5,IF($A$6="Köln",$D$6,IF($A$7="Köln",$D$7,IF($A$7="Köln",$D$7,""))))))))</f>
        <v>0</v>
      </c>
      <c r="D35" s="7" t="str">
        <f>IF($A$8="Köln",$D$8,IF($A$9="Köln",$D$9,IF($B$1="Köln",$C$1,IF($B$2="Köln",$C$2,IF($B$3="Köln",$C$3,IF($B$4="Köln",$C$4,IF($B$5="Köln",$C$5,IF($B$6="Köln",$C$6,""))))))))</f>
        <v/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406</v>
      </c>
      <c r="B36" s="6">
        <f t="shared" si="0"/>
        <v>0</v>
      </c>
      <c r="C36" s="6">
        <f>IF($A$1="Heidenheim",$C$1,IF($A$2="Heidenheim",$C$2,IF($A$3="Heidenheim",$C$3,IF($A$4="Heidenheim",$C$4,IF($A$5="Heidenheim",$C$5,IF($A$6="Heidenheim",$C$6,IF($A$7="Heidenheim",$C$7,IF($A$7="Heidenheim",$C$7,""))))))))</f>
        <v>0</v>
      </c>
      <c r="D36" s="6" t="str">
        <f>IF($A$8="Heidenheim",$C$8,IF($A$9="Heidenheim",$C$9,IF($B$1="Heidenheim",$D$1,IF($B$2="Heidenheim",$D$2,IF($B$3="Heidenheim",$D$3,IF($B$4="Heidenheim",$D$4,IF($B$5="Heidenheim",$D$5,IF($B$6="Heidenheim",$D$6,""))))))))</f>
        <v/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407</v>
      </c>
      <c r="B37" s="7">
        <f t="shared" si="0"/>
        <v>0</v>
      </c>
      <c r="C37" s="7">
        <f>IF($A$1="Heidenheim",$D$1,IF($A$2="Heidenheim",$D$2,IF($A$3="Heidenheim",$D$3,IF($A$4="Heidenheim",$D$4,IF($A$5="Heidenheim",$D$5,IF($A$6="Heidenheim",$D$6,IF($A$7="Heidenheim",$D$7,IF($A$7="Heidenheim",$D$7,""))))))))</f>
        <v>0</v>
      </c>
      <c r="D37" s="7" t="str">
        <f>IF($A$8="Heidenheim",$D$8,IF($A$9="Heidenheim",$D$9,IF($B$1="Heidenheim",$C$1,IF($B$2="Heidenheim",$C$2,IF($B$3="Heidenheim",$C$3,IF($B$4="Heidenheim",$C$4,IF($B$5="Heidenheim",$C$5,IF($B$6="Heidenheim",$C$6,""))))))))</f>
        <v/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1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>
        <f>IF($B$7="Augsburg",$D$7,IF($B$8="Augsburg",$D$8,IF($B$9="Augsburg",$D$9,"")))</f>
        <v>1</v>
      </c>
      <c r="F38" s="6"/>
    </row>
    <row r="39" spans="1:6" ht="13.5" thickBot="1" x14ac:dyDescent="0.25">
      <c r="A39" s="7" t="s">
        <v>94</v>
      </c>
      <c r="B39" s="7">
        <f t="shared" si="0"/>
        <v>1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>
        <f>IF($B$7="Augsburg",$C$7,IF($B$8="Augsburg",$C$8,IF($B$9="Augsburg",$C$9,"")))</f>
        <v>1</v>
      </c>
      <c r="F39" s="6"/>
    </row>
    <row r="40" spans="1:6" x14ac:dyDescent="0.2">
      <c r="A40" s="5" t="s">
        <v>132</v>
      </c>
      <c r="B40" s="6">
        <f t="shared" si="0"/>
        <v>1</v>
      </c>
      <c r="C40" s="6" t="str">
        <f>IF($A$1="Freiburg",$C$1,IF($A$2="Freiburg",$C$2,IF($A$3="Freiburg",$C$3,IF($A$4="Freiburg",$C$4,IF($A$5="Freiburg",$C$5,IF($A$6="Freiburg",$C$6,IF($A$7="Freiburg",$C$7,IF($A$7="Freiburg",$C$7,""))))))))</f>
        <v/>
      </c>
      <c r="D40" s="6">
        <f>IF($A$8="Freiburg",$C$8,IF($A$9="Freiburg",$C$9,IF($B$1="Freiburg",$D$1,IF($B$2="Freiburg",$D$2,IF($B$3="Freiburg",$D$3,IF($B$4="Freiburg",$D$4,IF($B$5="Freiburg",$D$5,IF($B$6="Freiburg",$D$6,""))))))))</f>
        <v>1</v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3</v>
      </c>
      <c r="C41" s="7" t="str">
        <f>IF($A$1="Freiburg",$D$1,IF($A$2="Freiburg",$D$2,IF($A$3="Freiburg",$D$3,IF($A$4="Freiburg",$D$4,IF($A$5="Freiburg",$D$5,IF($A$6="Freiburg",$D$6,IF($A$7="Freiburg",$D$7,IF($A$7="Freiburg",$D$7,""))))))))</f>
        <v/>
      </c>
      <c r="D41" s="7">
        <f>IF($A$8="Freiburg",$D$8,IF($A$9="Freiburg",$D$9,IF($B$1="Freiburg",$C$1,IF($B$2="Freiburg",$C$2,IF($B$3="Freiburg",$C$3,IF($B$4="Freiburg",$C$4,IF($B$5="Freiburg",$C$5,IF($B$6="Freiburg",$C$6,""))))))))</f>
        <v>3</v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0</v>
      </c>
      <c r="C42" s="6" t="str">
        <f>IF($A$1="Frankfurt",$C$1,IF($A$2="Frankfurt",$C$2,IF($A$3="Frankfurt",$C$3,IF($A$4="Frankfurt",$C$4,IF($A$5="Frankfurt",$C$5,IF($A$6="Frankfurt",$C$6,IF($A$7="Frankfurt",$C$7,IF($A$7="Frankfurt",$C$7,""))))))))</f>
        <v/>
      </c>
      <c r="D42" s="6">
        <f>IF($A$8="Frankfurt",$C$8,IF($A$9="Frankfurt",$C$9,IF($B$1="Frankfurt",$D$1,IF($B$2="Frankfurt",$D$2,IF($B$3="Frankfurt",$D$3,IF($B$4="Frankfurt",$D$4,IF($B$5="Frankfurt",$D$5,IF($B$6="Frankfurt",$D$6,""))))))))</f>
        <v>0</v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2</v>
      </c>
      <c r="C43" s="7" t="str">
        <f>IF($A$1="Frankfurt",$D$1,IF($A$2="Frankfurt",$D$2,IF($A$3="Frankfurt",$D$3,IF($A$4="Frankfurt",$D$4,IF($A$5="Frankfurt",$D$5,IF($A$6="Frankfurt",$D$6,IF($A$7="Frankfurt",$D$7,IF($A$7="Frankfurt",$D$7,""))))))))</f>
        <v/>
      </c>
      <c r="D43" s="7">
        <f>IF($A$8="Frankfurt",$D$8,IF($A$9="Frankfurt",$D$9,IF($B$1="Frankfurt",$C$1,IF($B$2="Frankfurt",$C$2,IF($B$3="Frankfurt",$C$3,IF($B$4="Frankfurt",$C$4,IF($B$5="Frankfurt",$C$5,IF($B$6="Frankfurt",$C$6,""))))))))</f>
        <v>2</v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0</v>
      </c>
      <c r="C44" s="6">
        <f>IF($A$1="Mainz",$C$1,IF($A$2="Mainz",$C$2,IF($A$3="Mainz",$C$3,IF($A$4="Mainz",$C$4,IF($A$5="Mainz",$C$5,IF($A$6="Mainz",$C$6,IF($A$7="Mainz",$C$7,IF($A$7="Mainz",$C$7,""))))))))</f>
        <v>0</v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1</v>
      </c>
      <c r="C45" s="7">
        <f>IF($A$1="Mainz",$D$1,IF($A$2="Mainz",$D$2,IF($A$3="Mainz",$D$3,IF($A$4="Mainz",$D$4,IF($A$5="Mainz",$D$5,IF($A$6="Mainz",$D$6,IF($A$7="Mainz",$D$7,IF($A$7="Mainz",$D$7,""))))))))</f>
        <v>1</v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1</v>
      </c>
      <c r="C46" s="6" t="str">
        <f>IF($A$1="M'gladbach",$C$1,IF($A$2="M'gladbach",$C$2,IF($A$3="M'gladbach",$C$3,IF($A$4="M'gladbach",$C$4,IF($A$5="M'gladbach",$C$5,IF($A$6="M'gladbach",$C$6,IF($A$7="M'gladbach",$C$7,IF($A$7="M'gladbach",$C$7,""))))))))</f>
        <v/>
      </c>
      <c r="D46" s="6">
        <f>IF($A$8="M'gladbach",$C$8,IF($A$9="M'gladbach",$C$9,IF($B$1="M'gladbach",$D$1,IF($B$2="M'gladbach",$D$2,IF($B$3="M'gladbach",$D$3,IF($B$4="M'gladbach",$D$4,IF($B$5="M'gladbach",$D$5,IF($B$6="M'gladbach",$D$6,""))))))))</f>
        <v>1</v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3</v>
      </c>
      <c r="C47" s="7" t="str">
        <f>IF($A$1="M'gladbach",$D$1,IF($A$2="M'gladbach",$D$2,IF($A$3="M'gladbach",$D$3,IF($A$4="M'gladbach",$D$4,IF($A$5="M'gladbach",$D$5,IF($A$6="M'gladbach",$D$6,IF($A$7="M'gladbach",$D$7,IF($A$7="M'gladbach",$D$7,""))))))))</f>
        <v/>
      </c>
      <c r="D47" s="7">
        <f>IF($A$8="M'gladbach",$D$8,IF($A$9="M'gladbach",$D$9,IF($B$1="M'gladbach",$C$1,IF($B$2="M'gladbach",$C$2,IF($B$3="M'gladbach",$C$3,IF($B$4="M'gladbach",$C$4,IF($B$5="M'gladbach",$C$5,IF($B$6="M'gladbach",$C$6,""))))))))</f>
        <v>3</v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55"/>
  <sheetViews>
    <sheetView showGridLines="0" zoomScale="110" zoomScaleNormal="110" workbookViewId="0">
      <pane xSplit="9" ySplit="1" topLeftCell="J22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P65" sqref="P65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410</v>
      </c>
      <c r="U1" s="174" t="s">
        <v>411</v>
      </c>
      <c r="V1" s="174" t="s">
        <v>412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20" t="s">
        <v>9</v>
      </c>
      <c r="B2" s="220"/>
      <c r="C2" s="220"/>
      <c r="D2" s="220"/>
      <c r="E2" s="220"/>
      <c r="F2" s="220"/>
      <c r="G2" s="220"/>
      <c r="H2" s="220"/>
      <c r="I2" s="220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/>
      <c r="N3" s="182">
        <v>1</v>
      </c>
      <c r="O3" s="182">
        <v>1</v>
      </c>
      <c r="P3" s="182"/>
      <c r="Q3" s="182"/>
      <c r="R3" s="182"/>
      <c r="S3" s="182">
        <v>1</v>
      </c>
      <c r="T3" s="182"/>
      <c r="U3" s="182"/>
      <c r="V3" s="182"/>
      <c r="W3" s="182"/>
      <c r="X3" s="182"/>
      <c r="Y3" s="182"/>
      <c r="AB3" s="175" t="str">
        <f t="shared" ref="AB3:AB11" si="0">B3</f>
        <v>Manuel Neuer</v>
      </c>
    </row>
    <row r="4" spans="1:28" ht="10.5" customHeight="1" x14ac:dyDescent="0.2">
      <c r="A4" s="177">
        <v>18</v>
      </c>
      <c r="B4" s="178" t="s">
        <v>608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 t="shared" ref="AB4:AB9" si="1">B4</f>
        <v>Daniel Peretz</v>
      </c>
    </row>
    <row r="5" spans="1:28" ht="10.5" customHeight="1" x14ac:dyDescent="0.2">
      <c r="A5" s="177">
        <v>26</v>
      </c>
      <c r="B5" s="178" t="s">
        <v>264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 t="shared" si="1"/>
        <v>Sven Ulreich</v>
      </c>
    </row>
    <row r="6" spans="1:28" ht="10.5" customHeight="1" x14ac:dyDescent="0.2">
      <c r="A6" s="177">
        <v>43</v>
      </c>
      <c r="B6" s="178" t="s">
        <v>652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 t="shared" si="1"/>
        <v>Ritzy Hülsmann</v>
      </c>
    </row>
    <row r="7" spans="1:28" ht="10.5" customHeight="1" x14ac:dyDescent="0.2">
      <c r="A7" s="177">
        <v>48</v>
      </c>
      <c r="B7" s="178" t="s">
        <v>629</v>
      </c>
      <c r="C7" s="178" t="s">
        <v>0</v>
      </c>
      <c r="D7" s="179" t="s">
        <v>59</v>
      </c>
      <c r="E7" s="179" t="s">
        <v>59</v>
      </c>
      <c r="F7" s="180" t="s">
        <v>59</v>
      </c>
      <c r="G7" s="180" t="s">
        <v>59</v>
      </c>
      <c r="H7" s="180"/>
      <c r="I7" s="179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 t="shared" si="1"/>
        <v>Max Schmitt</v>
      </c>
    </row>
    <row r="8" spans="1:28" ht="10.5" customHeight="1" x14ac:dyDescent="0.2">
      <c r="A8" s="183">
        <v>2</v>
      </c>
      <c r="B8" s="184" t="s">
        <v>156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 t="shared" si="1"/>
        <v>Dayot Upamecano (A)</v>
      </c>
    </row>
    <row r="9" spans="1:28" ht="10.5" customHeight="1" x14ac:dyDescent="0.2">
      <c r="A9" s="183">
        <v>3</v>
      </c>
      <c r="B9" s="184" t="s">
        <v>413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1"/>
        <v>Min-Jae Kim (A)</v>
      </c>
    </row>
    <row r="10" spans="1:28" ht="10.5" customHeight="1" x14ac:dyDescent="0.2">
      <c r="A10" s="183">
        <v>4</v>
      </c>
      <c r="B10" s="184" t="s">
        <v>324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si="0"/>
        <v>Matthijs de Ligt (A)</v>
      </c>
    </row>
    <row r="11" spans="1:28" ht="10.5" customHeight="1" x14ac:dyDescent="0.2">
      <c r="A11" s="183">
        <v>15</v>
      </c>
      <c r="B11" s="184" t="s">
        <v>653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si="0"/>
        <v>Eric Dier (A)</v>
      </c>
    </row>
    <row r="12" spans="1:28" ht="10.5" customHeight="1" x14ac:dyDescent="0.2">
      <c r="A12" s="183">
        <v>19</v>
      </c>
      <c r="B12" s="184" t="s">
        <v>182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ref="AB12" si="2">B12</f>
        <v>Alphonso Davies (A)</v>
      </c>
    </row>
    <row r="13" spans="1:28" ht="10.5" customHeight="1" x14ac:dyDescent="0.2">
      <c r="A13" s="183">
        <v>20</v>
      </c>
      <c r="B13" s="184" t="s">
        <v>251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:AB19" si="3">B13</f>
        <v>Bouna Sarr (A)</v>
      </c>
    </row>
    <row r="14" spans="1:28" ht="10.5" customHeight="1" x14ac:dyDescent="0.2">
      <c r="A14" s="183">
        <v>22</v>
      </c>
      <c r="B14" s="184" t="s">
        <v>147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3"/>
        <v>Raphael Guerreiro (A)</v>
      </c>
    </row>
    <row r="15" spans="1:28" ht="10.5" customHeight="1" x14ac:dyDescent="0.2">
      <c r="A15" s="183">
        <v>23</v>
      </c>
      <c r="B15" s="184" t="s">
        <v>669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3"/>
        <v>Sacha Boey (A)</v>
      </c>
    </row>
    <row r="16" spans="1:28" ht="10.5" customHeight="1" x14ac:dyDescent="0.2">
      <c r="A16" s="183">
        <v>28</v>
      </c>
      <c r="B16" s="184" t="s">
        <v>414</v>
      </c>
      <c r="C16" s="185" t="s">
        <v>1</v>
      </c>
      <c r="D16" s="186" t="s">
        <v>59</v>
      </c>
      <c r="E16" s="186" t="s">
        <v>59</v>
      </c>
      <c r="F16" s="187" t="s">
        <v>59</v>
      </c>
      <c r="G16" s="187" t="s">
        <v>59</v>
      </c>
      <c r="H16" s="187"/>
      <c r="I16" s="186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AB16" s="175" t="str">
        <f t="shared" ref="AB16" si="4">B16</f>
        <v>Tarek Buchmann</v>
      </c>
    </row>
    <row r="17" spans="1:28" ht="10.5" customHeight="1" x14ac:dyDescent="0.2">
      <c r="A17" s="183">
        <v>40</v>
      </c>
      <c r="B17" s="184" t="s">
        <v>325</v>
      </c>
      <c r="C17" s="185" t="s">
        <v>1</v>
      </c>
      <c r="D17" s="186" t="s">
        <v>59</v>
      </c>
      <c r="E17" s="186" t="s">
        <v>59</v>
      </c>
      <c r="F17" s="187" t="s">
        <v>59</v>
      </c>
      <c r="G17" s="187" t="s">
        <v>59</v>
      </c>
      <c r="H17" s="187"/>
      <c r="I17" s="186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AB17" s="175" t="str">
        <f t="shared" si="3"/>
        <v>Noussair Mazraoui (A)</v>
      </c>
    </row>
    <row r="18" spans="1:28" ht="10.5" customHeight="1" x14ac:dyDescent="0.2">
      <c r="A18" s="183">
        <v>41</v>
      </c>
      <c r="B18" s="184" t="s">
        <v>550</v>
      </c>
      <c r="C18" s="185" t="s">
        <v>1</v>
      </c>
      <c r="D18" s="186" t="s">
        <v>59</v>
      </c>
      <c r="E18" s="186" t="s">
        <v>59</v>
      </c>
      <c r="F18" s="187" t="s">
        <v>59</v>
      </c>
      <c r="G18" s="187" t="s">
        <v>59</v>
      </c>
      <c r="H18" s="187"/>
      <c r="I18" s="186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AB18" s="175" t="str">
        <f t="shared" ref="AB18" si="5">B18</f>
        <v xml:space="preserve">Frans Krätzig </v>
      </c>
    </row>
    <row r="19" spans="1:28" ht="10.5" customHeight="1" x14ac:dyDescent="0.2">
      <c r="A19" s="183">
        <v>44</v>
      </c>
      <c r="B19" s="184" t="s">
        <v>670</v>
      </c>
      <c r="C19" s="185" t="s">
        <v>1</v>
      </c>
      <c r="D19" s="186" t="s">
        <v>59</v>
      </c>
      <c r="E19" s="186" t="s">
        <v>59</v>
      </c>
      <c r="F19" s="187" t="s">
        <v>59</v>
      </c>
      <c r="G19" s="187" t="s">
        <v>59</v>
      </c>
      <c r="H19" s="187"/>
      <c r="I19" s="186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AB19" s="175" t="str">
        <f t="shared" si="3"/>
        <v>Adam Aznou (A)</v>
      </c>
    </row>
    <row r="20" spans="1:28" s="113" customFormat="1" ht="10.5" customHeight="1" x14ac:dyDescent="0.2">
      <c r="A20" s="188">
        <v>6</v>
      </c>
      <c r="B20" s="189" t="s">
        <v>123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>B20</f>
        <v>Joshua Kimmich</v>
      </c>
    </row>
    <row r="21" spans="1:28" s="113" customFormat="1" ht="10.5" customHeight="1" x14ac:dyDescent="0.2">
      <c r="A21" s="188">
        <v>8</v>
      </c>
      <c r="B21" s="189" t="s">
        <v>116</v>
      </c>
      <c r="C21" s="190" t="s">
        <v>2</v>
      </c>
      <c r="D21" s="191" t="s">
        <v>59</v>
      </c>
      <c r="E21" s="191" t="s">
        <v>59</v>
      </c>
      <c r="F21" s="192" t="s">
        <v>59</v>
      </c>
      <c r="G21" s="192" t="s">
        <v>59</v>
      </c>
      <c r="H21" s="192"/>
      <c r="I21" s="191"/>
      <c r="J21" s="181"/>
      <c r="K21" s="182"/>
      <c r="L21" s="182"/>
      <c r="M21" s="182"/>
      <c r="N21" s="182"/>
      <c r="O21" s="182"/>
      <c r="P21" s="182">
        <v>8</v>
      </c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>B21</f>
        <v>Leon Goretzka</v>
      </c>
    </row>
    <row r="22" spans="1:28" s="113" customFormat="1" ht="10.5" customHeight="1" x14ac:dyDescent="0.2">
      <c r="A22" s="188">
        <v>27</v>
      </c>
      <c r="B22" s="189" t="s">
        <v>157</v>
      </c>
      <c r="C22" s="190" t="s">
        <v>2</v>
      </c>
      <c r="D22" s="191" t="s">
        <v>59</v>
      </c>
      <c r="E22" s="191" t="s">
        <v>59</v>
      </c>
      <c r="F22" s="192" t="s">
        <v>59</v>
      </c>
      <c r="G22" s="192" t="s">
        <v>59</v>
      </c>
      <c r="H22" s="192"/>
      <c r="I22" s="191"/>
      <c r="J22" s="181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72"/>
      <c r="AB22" s="175" t="str">
        <f t="shared" ref="AB22:AB24" si="6">B22</f>
        <v>Konrad Laimer (A)</v>
      </c>
    </row>
    <row r="23" spans="1:28" s="113" customFormat="1" ht="10.5" customHeight="1" x14ac:dyDescent="0.2">
      <c r="A23" s="188">
        <v>34</v>
      </c>
      <c r="B23" s="189" t="s">
        <v>631</v>
      </c>
      <c r="C23" s="190" t="s">
        <v>2</v>
      </c>
      <c r="D23" s="191" t="s">
        <v>59</v>
      </c>
      <c r="E23" s="191" t="s">
        <v>59</v>
      </c>
      <c r="F23" s="192" t="s">
        <v>59</v>
      </c>
      <c r="G23" s="192" t="s">
        <v>59</v>
      </c>
      <c r="H23" s="192"/>
      <c r="I23" s="191"/>
      <c r="J23" s="181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72"/>
      <c r="AB23" s="175" t="str">
        <f t="shared" si="6"/>
        <v>Lovro Zvonarek (A)</v>
      </c>
    </row>
    <row r="24" spans="1:28" s="113" customFormat="1" ht="10.5" customHeight="1" x14ac:dyDescent="0.2">
      <c r="A24" s="188">
        <v>36</v>
      </c>
      <c r="B24" s="189" t="s">
        <v>632</v>
      </c>
      <c r="C24" s="190" t="s">
        <v>2</v>
      </c>
      <c r="D24" s="191" t="s">
        <v>59</v>
      </c>
      <c r="E24" s="191" t="s">
        <v>59</v>
      </c>
      <c r="F24" s="192" t="s">
        <v>59</v>
      </c>
      <c r="G24" s="192" t="s">
        <v>59</v>
      </c>
      <c r="H24" s="192"/>
      <c r="I24" s="191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si="6"/>
        <v>Noel Aeko Nkili</v>
      </c>
    </row>
    <row r="25" spans="1:28" s="113" customFormat="1" ht="10.5" customHeight="1" x14ac:dyDescent="0.2">
      <c r="A25" s="188">
        <v>37</v>
      </c>
      <c r="B25" s="189" t="s">
        <v>630</v>
      </c>
      <c r="C25" s="190" t="s">
        <v>2</v>
      </c>
      <c r="D25" s="191" t="s">
        <v>59</v>
      </c>
      <c r="E25" s="191" t="s">
        <v>59</v>
      </c>
      <c r="F25" s="192" t="s">
        <v>59</v>
      </c>
      <c r="G25" s="192" t="s">
        <v>59</v>
      </c>
      <c r="H25" s="192"/>
      <c r="I25" s="191"/>
      <c r="J25" s="181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ref="AB25" si="7">B25</f>
        <v>Luca Denk</v>
      </c>
    </row>
    <row r="26" spans="1:28" s="113" customFormat="1" ht="10.5" customHeight="1" x14ac:dyDescent="0.2">
      <c r="A26" s="188">
        <v>42</v>
      </c>
      <c r="B26" s="189" t="s">
        <v>250</v>
      </c>
      <c r="C26" s="190" t="s">
        <v>2</v>
      </c>
      <c r="D26" s="191" t="s">
        <v>59</v>
      </c>
      <c r="E26" s="191" t="s">
        <v>59</v>
      </c>
      <c r="F26" s="192" t="s">
        <v>59</v>
      </c>
      <c r="G26" s="192" t="s">
        <v>59</v>
      </c>
      <c r="H26" s="192"/>
      <c r="I26" s="191"/>
      <c r="J26" s="181"/>
      <c r="K26" s="182">
        <v>8</v>
      </c>
      <c r="L26" s="182">
        <v>8</v>
      </c>
      <c r="M26" s="182"/>
      <c r="N26" s="182"/>
      <c r="O26" s="182"/>
      <c r="P26" s="182"/>
      <c r="Q26" s="182">
        <v>6</v>
      </c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 t="shared" ref="AB26:AB27" si="8">B26</f>
        <v>Jamal Musiala</v>
      </c>
    </row>
    <row r="27" spans="1:28" s="113" customFormat="1" ht="10.5" customHeight="1" x14ac:dyDescent="0.2">
      <c r="A27" s="188">
        <v>45</v>
      </c>
      <c r="B27" s="189" t="s">
        <v>567</v>
      </c>
      <c r="C27" s="190" t="s">
        <v>2</v>
      </c>
      <c r="D27" s="191" t="s">
        <v>59</v>
      </c>
      <c r="E27" s="191" t="s">
        <v>59</v>
      </c>
      <c r="F27" s="192" t="s">
        <v>59</v>
      </c>
      <c r="G27" s="192" t="s">
        <v>59</v>
      </c>
      <c r="H27" s="192"/>
      <c r="I27" s="191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 t="shared" si="8"/>
        <v>Aleksandar Pavlovic</v>
      </c>
    </row>
    <row r="28" spans="1:28" s="113" customFormat="1" ht="10.5" customHeight="1" x14ac:dyDescent="0.2">
      <c r="A28" s="188">
        <v>46</v>
      </c>
      <c r="B28" s="189" t="s">
        <v>633</v>
      </c>
      <c r="C28" s="190" t="s">
        <v>2</v>
      </c>
      <c r="D28" s="191" t="s">
        <v>59</v>
      </c>
      <c r="E28" s="191" t="s">
        <v>59</v>
      </c>
      <c r="F28" s="192" t="s">
        <v>59</v>
      </c>
      <c r="G28" s="192" t="s">
        <v>59</v>
      </c>
      <c r="H28" s="192"/>
      <c r="I28" s="191"/>
      <c r="J28" s="181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72"/>
      <c r="AB28" s="175" t="str">
        <f t="shared" ref="AB28" si="9">B28</f>
        <v>Taichi Fukui (A)</v>
      </c>
    </row>
    <row r="29" spans="1:28" s="113" customFormat="1" ht="10.5" customHeight="1" x14ac:dyDescent="0.2">
      <c r="A29" s="193">
        <v>7</v>
      </c>
      <c r="B29" s="194" t="s">
        <v>160</v>
      </c>
      <c r="C29" s="195" t="s">
        <v>3</v>
      </c>
      <c r="D29" s="196" t="s">
        <v>59</v>
      </c>
      <c r="E29" s="196" t="s">
        <v>59</v>
      </c>
      <c r="F29" s="197" t="s">
        <v>59</v>
      </c>
      <c r="G29" s="197" t="s">
        <v>59</v>
      </c>
      <c r="H29" s="197"/>
      <c r="I29" s="196"/>
      <c r="J29" s="181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72"/>
      <c r="AB29" s="175" t="str">
        <f>B29</f>
        <v>Serge Gnabry</v>
      </c>
    </row>
    <row r="30" spans="1:28" s="113" customFormat="1" ht="10.5" customHeight="1" x14ac:dyDescent="0.2">
      <c r="A30" s="193">
        <v>9</v>
      </c>
      <c r="B30" s="194" t="s">
        <v>547</v>
      </c>
      <c r="C30" s="195" t="s">
        <v>3</v>
      </c>
      <c r="D30" s="196" t="s">
        <v>59</v>
      </c>
      <c r="E30" s="196" t="s">
        <v>59</v>
      </c>
      <c r="F30" s="197" t="s">
        <v>59</v>
      </c>
      <c r="G30" s="197" t="s">
        <v>59</v>
      </c>
      <c r="H30" s="197"/>
      <c r="I30" s="196"/>
      <c r="J30" s="181"/>
      <c r="K30" s="182">
        <v>9</v>
      </c>
      <c r="L30" s="182">
        <v>9</v>
      </c>
      <c r="M30" s="182">
        <v>9</v>
      </c>
      <c r="N30" s="182">
        <v>9</v>
      </c>
      <c r="O30" s="182">
        <v>10</v>
      </c>
      <c r="P30" s="182">
        <v>10</v>
      </c>
      <c r="Q30" s="182">
        <v>10</v>
      </c>
      <c r="R30" s="182">
        <v>10</v>
      </c>
      <c r="S30" s="182">
        <v>9</v>
      </c>
      <c r="T30" s="182"/>
      <c r="U30" s="182"/>
      <c r="V30" s="182"/>
      <c r="W30" s="182"/>
      <c r="X30" s="182"/>
      <c r="Y30" s="182"/>
      <c r="Z30" s="172"/>
      <c r="AB30" s="175" t="str">
        <f>B30</f>
        <v>Harry Kane (A)</v>
      </c>
    </row>
    <row r="31" spans="1:28" s="113" customFormat="1" ht="10.5" customHeight="1" x14ac:dyDescent="0.2">
      <c r="A31" s="193">
        <v>10</v>
      </c>
      <c r="B31" s="194" t="s">
        <v>572</v>
      </c>
      <c r="C31" s="195" t="s">
        <v>3</v>
      </c>
      <c r="D31" s="196" t="s">
        <v>59</v>
      </c>
      <c r="E31" s="196" t="s">
        <v>59</v>
      </c>
      <c r="F31" s="197" t="s">
        <v>59</v>
      </c>
      <c r="G31" s="197" t="s">
        <v>59</v>
      </c>
      <c r="H31" s="197"/>
      <c r="I31" s="196"/>
      <c r="J31" s="181"/>
      <c r="K31" s="182"/>
      <c r="L31" s="182"/>
      <c r="M31" s="182">
        <v>10</v>
      </c>
      <c r="N31" s="182"/>
      <c r="O31" s="182"/>
      <c r="P31" s="182"/>
      <c r="Q31" s="182"/>
      <c r="R31" s="182">
        <v>11</v>
      </c>
      <c r="S31" s="182"/>
      <c r="T31" s="182"/>
      <c r="U31" s="182"/>
      <c r="V31" s="182"/>
      <c r="W31" s="182"/>
      <c r="X31" s="182"/>
      <c r="Y31" s="182"/>
      <c r="Z31" s="172"/>
      <c r="AB31" s="175" t="str">
        <f>B31</f>
        <v>Leroy Sané</v>
      </c>
    </row>
    <row r="32" spans="1:28" s="113" customFormat="1" ht="10.5" customHeight="1" x14ac:dyDescent="0.2">
      <c r="A32" s="193">
        <v>11</v>
      </c>
      <c r="B32" s="194" t="s">
        <v>138</v>
      </c>
      <c r="C32" s="195" t="s">
        <v>3</v>
      </c>
      <c r="D32" s="196" t="s">
        <v>59</v>
      </c>
      <c r="E32" s="196" t="s">
        <v>59</v>
      </c>
      <c r="F32" s="197" t="s">
        <v>59</v>
      </c>
      <c r="G32" s="197" t="s">
        <v>59</v>
      </c>
      <c r="H32" s="197"/>
      <c r="I32" s="196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 t="shared" ref="AB32:AB33" si="10">B32</f>
        <v>Kingsley Coman (A)</v>
      </c>
    </row>
    <row r="33" spans="1:28" s="113" customFormat="1" ht="10.5" customHeight="1" x14ac:dyDescent="0.2">
      <c r="A33" s="193">
        <v>13</v>
      </c>
      <c r="B33" s="194" t="s">
        <v>252</v>
      </c>
      <c r="C33" s="195" t="s">
        <v>3</v>
      </c>
      <c r="D33" s="196" t="s">
        <v>59</v>
      </c>
      <c r="E33" s="196" t="s">
        <v>59</v>
      </c>
      <c r="F33" s="197" t="s">
        <v>59</v>
      </c>
      <c r="G33" s="197" t="s">
        <v>59</v>
      </c>
      <c r="H33" s="197"/>
      <c r="I33" s="19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 t="shared" si="10"/>
        <v>Eric-Maxim Choupo-Moting</v>
      </c>
    </row>
    <row r="34" spans="1:28" s="113" customFormat="1" ht="10.5" customHeight="1" x14ac:dyDescent="0.2">
      <c r="A34" s="193">
        <v>25</v>
      </c>
      <c r="B34" s="194" t="s">
        <v>80</v>
      </c>
      <c r="C34" s="195" t="s">
        <v>3</v>
      </c>
      <c r="D34" s="196" t="s">
        <v>59</v>
      </c>
      <c r="E34" s="196" t="s">
        <v>59</v>
      </c>
      <c r="F34" s="197" t="s">
        <v>59</v>
      </c>
      <c r="G34" s="197" t="s">
        <v>59</v>
      </c>
      <c r="H34" s="197"/>
      <c r="I34" s="196"/>
      <c r="J34" s="181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>B34</f>
        <v>Thomas Müller</v>
      </c>
    </row>
    <row r="35" spans="1:28" s="113" customFormat="1" ht="10.5" customHeight="1" x14ac:dyDescent="0.2">
      <c r="A35" s="193">
        <v>39</v>
      </c>
      <c r="B35" s="194" t="s">
        <v>326</v>
      </c>
      <c r="C35" s="195" t="s">
        <v>3</v>
      </c>
      <c r="D35" s="196" t="s">
        <v>59</v>
      </c>
      <c r="E35" s="196" t="s">
        <v>59</v>
      </c>
      <c r="F35" s="197" t="s">
        <v>59</v>
      </c>
      <c r="G35" s="197" t="s">
        <v>59</v>
      </c>
      <c r="H35" s="197"/>
      <c r="I35" s="196"/>
      <c r="J35" s="181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72"/>
      <c r="AB35" s="175" t="str">
        <f t="shared" ref="AB35" si="11">B35</f>
        <v>Mathys Tel (A)</v>
      </c>
    </row>
    <row r="36" spans="1:28" ht="15" customHeight="1" thickBot="1" x14ac:dyDescent="0.25">
      <c r="A36" s="220" t="s">
        <v>32</v>
      </c>
      <c r="B36" s="220"/>
      <c r="C36" s="220"/>
      <c r="D36" s="220"/>
      <c r="E36" s="220"/>
      <c r="F36" s="220"/>
      <c r="G36" s="220"/>
      <c r="H36" s="220"/>
      <c r="I36" s="220"/>
      <c r="J36" s="10"/>
      <c r="K36" s="176">
        <v>12</v>
      </c>
      <c r="L36" s="176">
        <v>12</v>
      </c>
      <c r="M36" s="176">
        <v>12</v>
      </c>
      <c r="N36" s="176">
        <v>12</v>
      </c>
      <c r="O36" s="176">
        <v>12</v>
      </c>
      <c r="P36" s="176">
        <v>12</v>
      </c>
      <c r="Q36" s="176">
        <v>12</v>
      </c>
      <c r="R36" s="176">
        <v>12</v>
      </c>
      <c r="S36" s="176">
        <v>12</v>
      </c>
      <c r="T36" s="176">
        <v>12</v>
      </c>
      <c r="U36" s="176">
        <v>12</v>
      </c>
      <c r="V36" s="176">
        <v>12</v>
      </c>
      <c r="W36" s="176">
        <v>12</v>
      </c>
      <c r="X36" s="176">
        <v>12</v>
      </c>
      <c r="Y36" s="176">
        <v>12</v>
      </c>
      <c r="Z36" s="217"/>
      <c r="AB36" s="175" t="str">
        <f>A36</f>
        <v>Borussia Dortmund</v>
      </c>
    </row>
    <row r="37" spans="1:28" s="113" customFormat="1" ht="10.5" customHeight="1" x14ac:dyDescent="0.2">
      <c r="A37" s="177">
        <v>1</v>
      </c>
      <c r="B37" s="178" t="s">
        <v>240</v>
      </c>
      <c r="C37" s="178" t="s">
        <v>0</v>
      </c>
      <c r="D37" s="179" t="s">
        <v>59</v>
      </c>
      <c r="E37" s="179" t="s">
        <v>59</v>
      </c>
      <c r="F37" s="180" t="s">
        <v>59</v>
      </c>
      <c r="G37" s="180" t="s">
        <v>59</v>
      </c>
      <c r="H37" s="180"/>
      <c r="I37" s="179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ref="AB37:AB38" si="12">B37</f>
        <v>Gregor Kobel (A)</v>
      </c>
    </row>
    <row r="38" spans="1:28" s="113" customFormat="1" ht="10.5" customHeight="1" x14ac:dyDescent="0.2">
      <c r="A38" s="177">
        <v>31</v>
      </c>
      <c r="B38" s="178" t="s">
        <v>386</v>
      </c>
      <c r="C38" s="178" t="s">
        <v>0</v>
      </c>
      <c r="D38" s="179" t="s">
        <v>59</v>
      </c>
      <c r="E38" s="179" t="s">
        <v>59</v>
      </c>
      <c r="F38" s="180" t="s">
        <v>59</v>
      </c>
      <c r="G38" s="180" t="s">
        <v>59</v>
      </c>
      <c r="H38" s="180"/>
      <c r="I38" s="179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si="12"/>
        <v>Silas Ostrzinski</v>
      </c>
    </row>
    <row r="39" spans="1:28" s="113" customFormat="1" ht="10.5" customHeight="1" x14ac:dyDescent="0.2">
      <c r="A39" s="177">
        <v>33</v>
      </c>
      <c r="B39" s="178" t="s">
        <v>327</v>
      </c>
      <c r="C39" s="178" t="s">
        <v>0</v>
      </c>
      <c r="D39" s="179" t="s">
        <v>59</v>
      </c>
      <c r="E39" s="179" t="s">
        <v>59</v>
      </c>
      <c r="F39" s="180" t="s">
        <v>59</v>
      </c>
      <c r="G39" s="180" t="s">
        <v>59</v>
      </c>
      <c r="H39" s="180"/>
      <c r="I39" s="179"/>
      <c r="J39" s="181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ref="AB39" si="13">B39</f>
        <v>Alexander Meyer</v>
      </c>
    </row>
    <row r="40" spans="1:28" s="113" customFormat="1" ht="10.5" customHeight="1" x14ac:dyDescent="0.2">
      <c r="A40" s="177">
        <v>35</v>
      </c>
      <c r="B40" s="178" t="s">
        <v>319</v>
      </c>
      <c r="C40" s="178" t="s">
        <v>0</v>
      </c>
      <c r="D40" s="179" t="s">
        <v>59</v>
      </c>
      <c r="E40" s="179" t="s">
        <v>59</v>
      </c>
      <c r="F40" s="180" t="s">
        <v>59</v>
      </c>
      <c r="G40" s="180" t="s">
        <v>59</v>
      </c>
      <c r="H40" s="180"/>
      <c r="I40" s="179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 t="shared" ref="AB40" si="14">B40</f>
        <v>Marcel Lotka</v>
      </c>
    </row>
    <row r="41" spans="1:28" s="113" customFormat="1" ht="10.5" customHeight="1" x14ac:dyDescent="0.2">
      <c r="A41" s="198">
        <v>2</v>
      </c>
      <c r="B41" s="199" t="s">
        <v>183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>B41</f>
        <v>Mateu Morey (A)</v>
      </c>
    </row>
    <row r="42" spans="1:28" s="113" customFormat="1" ht="10.5" customHeight="1" x14ac:dyDescent="0.2">
      <c r="A42" s="198">
        <v>4</v>
      </c>
      <c r="B42" s="199" t="s">
        <v>197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>
        <v>2</v>
      </c>
      <c r="L42" s="182">
        <v>3</v>
      </c>
      <c r="M42" s="182">
        <v>3</v>
      </c>
      <c r="N42" s="182">
        <v>2</v>
      </c>
      <c r="O42" s="182"/>
      <c r="P42" s="182">
        <v>3</v>
      </c>
      <c r="Q42" s="182">
        <v>4</v>
      </c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ref="AB42:AB52" si="15">B42</f>
        <v>Nico Schlotterbeck</v>
      </c>
    </row>
    <row r="43" spans="1:28" s="113" customFormat="1" ht="10.5" customHeight="1" x14ac:dyDescent="0.2">
      <c r="A43" s="198">
        <v>5</v>
      </c>
      <c r="B43" s="199" t="s">
        <v>213</v>
      </c>
      <c r="C43" s="185" t="s">
        <v>1</v>
      </c>
      <c r="D43" s="186" t="s">
        <v>59</v>
      </c>
      <c r="E43" s="186" t="s">
        <v>59</v>
      </c>
      <c r="F43" s="187" t="s">
        <v>59</v>
      </c>
      <c r="G43" s="187" t="s">
        <v>59</v>
      </c>
      <c r="H43" s="187"/>
      <c r="I43" s="186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si="15"/>
        <v>Ramy Bensebaini (A)</v>
      </c>
    </row>
    <row r="44" spans="1:28" s="113" customFormat="1" ht="10.5" customHeight="1" x14ac:dyDescent="0.2">
      <c r="A44" s="198">
        <v>15</v>
      </c>
      <c r="B44" s="199" t="s">
        <v>60</v>
      </c>
      <c r="C44" s="185" t="s">
        <v>1</v>
      </c>
      <c r="D44" s="186" t="s">
        <v>59</v>
      </c>
      <c r="E44" s="186" t="s">
        <v>59</v>
      </c>
      <c r="F44" s="187" t="s">
        <v>59</v>
      </c>
      <c r="G44" s="187" t="s">
        <v>59</v>
      </c>
      <c r="H44" s="187"/>
      <c r="I44" s="186"/>
      <c r="J44" s="181"/>
      <c r="K44" s="182"/>
      <c r="L44" s="182"/>
      <c r="M44" s="182">
        <v>2</v>
      </c>
      <c r="N44" s="182"/>
      <c r="O44" s="182"/>
      <c r="P44" s="182"/>
      <c r="Q44" s="182"/>
      <c r="R44" s="182">
        <v>4</v>
      </c>
      <c r="S44" s="182"/>
      <c r="T44" s="182"/>
      <c r="U44" s="182"/>
      <c r="V44" s="182"/>
      <c r="W44" s="182"/>
      <c r="X44" s="182"/>
      <c r="Y44" s="182"/>
      <c r="Z44" s="172"/>
      <c r="AB44" s="175" t="str">
        <f t="shared" si="15"/>
        <v>Mats Hummels</v>
      </c>
    </row>
    <row r="45" spans="1:28" s="113" customFormat="1" ht="10.5" customHeight="1" x14ac:dyDescent="0.2">
      <c r="A45" s="198">
        <v>17</v>
      </c>
      <c r="B45" s="199" t="s">
        <v>248</v>
      </c>
      <c r="C45" s="185" t="s">
        <v>1</v>
      </c>
      <c r="D45" s="186" t="s">
        <v>59</v>
      </c>
      <c r="E45" s="186" t="s">
        <v>59</v>
      </c>
      <c r="F45" s="187" t="s">
        <v>59</v>
      </c>
      <c r="G45" s="187" t="s">
        <v>59</v>
      </c>
      <c r="H45" s="187"/>
      <c r="I45" s="186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ref="AB45:AB46" si="16">B45</f>
        <v>Marius Wolf</v>
      </c>
    </row>
    <row r="46" spans="1:28" s="113" customFormat="1" ht="10.5" customHeight="1" x14ac:dyDescent="0.2">
      <c r="A46" s="198">
        <v>22</v>
      </c>
      <c r="B46" s="199" t="s">
        <v>654</v>
      </c>
      <c r="C46" s="185" t="s">
        <v>1</v>
      </c>
      <c r="D46" s="186" t="s">
        <v>59</v>
      </c>
      <c r="E46" s="186" t="s">
        <v>59</v>
      </c>
      <c r="F46" s="187" t="s">
        <v>59</v>
      </c>
      <c r="G46" s="187" t="s">
        <v>59</v>
      </c>
      <c r="H46" s="187"/>
      <c r="I46" s="186"/>
      <c r="J46" s="181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6"/>
        <v>Ian Maatsen (A)</v>
      </c>
    </row>
    <row r="47" spans="1:28" s="113" customFormat="1" ht="10.5" customHeight="1" x14ac:dyDescent="0.2">
      <c r="A47" s="198">
        <v>24</v>
      </c>
      <c r="B47" s="199" t="s">
        <v>229</v>
      </c>
      <c r="C47" s="185" t="s">
        <v>1</v>
      </c>
      <c r="D47" s="186" t="s">
        <v>59</v>
      </c>
      <c r="E47" s="186" t="s">
        <v>59</v>
      </c>
      <c r="F47" s="187" t="s">
        <v>59</v>
      </c>
      <c r="G47" s="187" t="s">
        <v>59</v>
      </c>
      <c r="H47" s="187"/>
      <c r="I47" s="186"/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5"/>
        <v>Thomas Meunier (A)</v>
      </c>
    </row>
    <row r="48" spans="1:28" s="113" customFormat="1" ht="10.5" customHeight="1" x14ac:dyDescent="0.2">
      <c r="A48" s="198">
        <v>25</v>
      </c>
      <c r="B48" s="199" t="s">
        <v>118</v>
      </c>
      <c r="C48" s="185" t="s">
        <v>1</v>
      </c>
      <c r="D48" s="186" t="s">
        <v>59</v>
      </c>
      <c r="E48" s="186" t="s">
        <v>59</v>
      </c>
      <c r="F48" s="187" t="s">
        <v>59</v>
      </c>
      <c r="G48" s="187" t="s">
        <v>59</v>
      </c>
      <c r="H48" s="187"/>
      <c r="I48" s="186"/>
      <c r="J48" s="181"/>
      <c r="K48" s="182"/>
      <c r="L48" s="182"/>
      <c r="M48" s="182"/>
      <c r="N48" s="182"/>
      <c r="O48" s="182">
        <v>3</v>
      </c>
      <c r="P48" s="182"/>
      <c r="Q48" s="182">
        <v>3</v>
      </c>
      <c r="R48" s="182">
        <v>3</v>
      </c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5"/>
        <v>Niklas Süle</v>
      </c>
    </row>
    <row r="49" spans="1:28" s="113" customFormat="1" ht="10.5" customHeight="1" x14ac:dyDescent="0.2">
      <c r="A49" s="198">
        <v>26</v>
      </c>
      <c r="B49" s="199" t="s">
        <v>210</v>
      </c>
      <c r="C49" s="185" t="s">
        <v>1</v>
      </c>
      <c r="D49" s="186" t="s">
        <v>59</v>
      </c>
      <c r="E49" s="186" t="s">
        <v>59</v>
      </c>
      <c r="F49" s="187" t="s">
        <v>59</v>
      </c>
      <c r="G49" s="187" t="s">
        <v>59</v>
      </c>
      <c r="H49" s="187"/>
      <c r="I49" s="186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5"/>
        <v>Julian Ryerson (A)</v>
      </c>
    </row>
    <row r="50" spans="1:28" s="113" customFormat="1" ht="10.5" customHeight="1" x14ac:dyDescent="0.2">
      <c r="A50" s="198">
        <v>42</v>
      </c>
      <c r="B50" s="199" t="s">
        <v>634</v>
      </c>
      <c r="C50" s="185" t="s">
        <v>1</v>
      </c>
      <c r="D50" s="186" t="s">
        <v>59</v>
      </c>
      <c r="E50" s="186" t="s">
        <v>59</v>
      </c>
      <c r="F50" s="187" t="s">
        <v>59</v>
      </c>
      <c r="G50" s="187" t="s">
        <v>59</v>
      </c>
      <c r="H50" s="187"/>
      <c r="I50" s="186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ref="AB50" si="17">B50</f>
        <v>Hendry Blank</v>
      </c>
    </row>
    <row r="51" spans="1:28" s="113" customFormat="1" ht="10.5" customHeight="1" x14ac:dyDescent="0.2">
      <c r="A51" s="198">
        <v>44</v>
      </c>
      <c r="B51" s="199" t="s">
        <v>266</v>
      </c>
      <c r="C51" s="185" t="s">
        <v>1</v>
      </c>
      <c r="D51" s="186" t="s">
        <v>59</v>
      </c>
      <c r="E51" s="186" t="s">
        <v>59</v>
      </c>
      <c r="F51" s="187" t="s">
        <v>59</v>
      </c>
      <c r="G51" s="187" t="s">
        <v>59</v>
      </c>
      <c r="H51" s="187"/>
      <c r="I51" s="186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si="15"/>
        <v>Soumalia Coulibaly (A)</v>
      </c>
    </row>
    <row r="52" spans="1:28" s="113" customFormat="1" ht="10.5" customHeight="1" x14ac:dyDescent="0.2">
      <c r="A52" s="198">
        <v>45</v>
      </c>
      <c r="B52" s="199" t="s">
        <v>635</v>
      </c>
      <c r="C52" s="185" t="s">
        <v>1</v>
      </c>
      <c r="D52" s="186" t="s">
        <v>59</v>
      </c>
      <c r="E52" s="186" t="s">
        <v>59</v>
      </c>
      <c r="F52" s="187" t="s">
        <v>59</v>
      </c>
      <c r="G52" s="187" t="s">
        <v>59</v>
      </c>
      <c r="H52" s="187"/>
      <c r="I52" s="186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si="15"/>
        <v>Guille Bueno (A)</v>
      </c>
    </row>
    <row r="53" spans="1:28" s="113" customFormat="1" ht="10.5" customHeight="1" x14ac:dyDescent="0.2">
      <c r="A53" s="198">
        <v>47</v>
      </c>
      <c r="B53" s="199" t="s">
        <v>383</v>
      </c>
      <c r="C53" s="185" t="s">
        <v>1</v>
      </c>
      <c r="D53" s="186" t="s">
        <v>59</v>
      </c>
      <c r="E53" s="186" t="s">
        <v>59</v>
      </c>
      <c r="F53" s="187" t="s">
        <v>59</v>
      </c>
      <c r="G53" s="187" t="s">
        <v>59</v>
      </c>
      <c r="H53" s="187"/>
      <c r="I53" s="186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72"/>
      <c r="AB53" s="175" t="str">
        <f t="shared" ref="AB53" si="18">B53</f>
        <v>Antonis Papadopoulos</v>
      </c>
    </row>
    <row r="54" spans="1:28" s="113" customFormat="1" ht="10.5" customHeight="1" x14ac:dyDescent="0.2">
      <c r="A54" s="200">
        <v>6</v>
      </c>
      <c r="B54" s="190" t="s">
        <v>295</v>
      </c>
      <c r="C54" s="190" t="s">
        <v>2</v>
      </c>
      <c r="D54" s="191" t="s">
        <v>59</v>
      </c>
      <c r="E54" s="191" t="s">
        <v>59</v>
      </c>
      <c r="F54" s="192" t="s">
        <v>59</v>
      </c>
      <c r="G54" s="192" t="s">
        <v>59</v>
      </c>
      <c r="H54" s="192"/>
      <c r="I54" s="191"/>
      <c r="J54" s="181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72"/>
      <c r="AB54" s="175" t="str">
        <f t="shared" ref="AB54:AB64" si="19">B54</f>
        <v>Salih Özcan</v>
      </c>
    </row>
    <row r="55" spans="1:28" s="113" customFormat="1" ht="10.5" customHeight="1" x14ac:dyDescent="0.2">
      <c r="A55" s="200">
        <v>7</v>
      </c>
      <c r="B55" s="190" t="s">
        <v>214</v>
      </c>
      <c r="C55" s="190" t="s">
        <v>2</v>
      </c>
      <c r="D55" s="191" t="s">
        <v>59</v>
      </c>
      <c r="E55" s="191" t="s">
        <v>59</v>
      </c>
      <c r="F55" s="192" t="s">
        <v>59</v>
      </c>
      <c r="G55" s="192" t="s">
        <v>59</v>
      </c>
      <c r="H55" s="192"/>
      <c r="I55" s="191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72"/>
      <c r="AB55" s="175" t="str">
        <f t="shared" si="19"/>
        <v>Giovanni Reyna (A)</v>
      </c>
    </row>
    <row r="56" spans="1:28" s="113" customFormat="1" ht="10.5" customHeight="1" x14ac:dyDescent="0.2">
      <c r="A56" s="200">
        <v>8</v>
      </c>
      <c r="B56" s="190" t="s">
        <v>270</v>
      </c>
      <c r="C56" s="190" t="s">
        <v>2</v>
      </c>
      <c r="D56" s="191" t="s">
        <v>59</v>
      </c>
      <c r="E56" s="191" t="s">
        <v>59</v>
      </c>
      <c r="F56" s="192" t="s">
        <v>59</v>
      </c>
      <c r="G56" s="192" t="s">
        <v>59</v>
      </c>
      <c r="H56" s="192"/>
      <c r="I56" s="191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72"/>
      <c r="AB56" s="175" t="str">
        <f t="shared" si="19"/>
        <v>Felix Nmecha</v>
      </c>
    </row>
    <row r="57" spans="1:28" s="113" customFormat="1" ht="10.5" customHeight="1" x14ac:dyDescent="0.2">
      <c r="A57" s="200">
        <v>10</v>
      </c>
      <c r="B57" s="190" t="s">
        <v>655</v>
      </c>
      <c r="C57" s="190" t="s">
        <v>2</v>
      </c>
      <c r="D57" s="191" t="s">
        <v>59</v>
      </c>
      <c r="E57" s="191" t="s">
        <v>59</v>
      </c>
      <c r="F57" s="192" t="s">
        <v>59</v>
      </c>
      <c r="G57" s="192" t="s">
        <v>59</v>
      </c>
      <c r="H57" s="192"/>
      <c r="I57" s="191"/>
      <c r="J57" s="181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72"/>
      <c r="AB57" s="175" t="str">
        <f t="shared" ref="AB57" si="20">B57</f>
        <v>Jadon Sancho (A)</v>
      </c>
    </row>
    <row r="58" spans="1:28" s="113" customFormat="1" ht="10.5" customHeight="1" x14ac:dyDescent="0.2">
      <c r="A58" s="200">
        <v>11</v>
      </c>
      <c r="B58" s="190" t="s">
        <v>83</v>
      </c>
      <c r="C58" s="190" t="s">
        <v>2</v>
      </c>
      <c r="D58" s="191" t="s">
        <v>59</v>
      </c>
      <c r="E58" s="191" t="s">
        <v>59</v>
      </c>
      <c r="F58" s="192" t="s">
        <v>59</v>
      </c>
      <c r="G58" s="192" t="s">
        <v>59</v>
      </c>
      <c r="H58" s="192"/>
      <c r="I58" s="191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72"/>
      <c r="AB58" s="175" t="str">
        <f t="shared" si="19"/>
        <v>Marco Reus</v>
      </c>
    </row>
    <row r="59" spans="1:28" s="113" customFormat="1" ht="10.5" customHeight="1" x14ac:dyDescent="0.2">
      <c r="A59" s="200">
        <v>19</v>
      </c>
      <c r="B59" s="190" t="s">
        <v>121</v>
      </c>
      <c r="C59" s="190" t="s">
        <v>2</v>
      </c>
      <c r="D59" s="191" t="s">
        <v>59</v>
      </c>
      <c r="E59" s="191" t="s">
        <v>59</v>
      </c>
      <c r="F59" s="192" t="s">
        <v>59</v>
      </c>
      <c r="G59" s="192" t="s">
        <v>59</v>
      </c>
      <c r="H59" s="192"/>
      <c r="I59" s="191"/>
      <c r="J59" s="181"/>
      <c r="K59" s="182">
        <v>6</v>
      </c>
      <c r="L59" s="182"/>
      <c r="M59" s="182"/>
      <c r="N59" s="182">
        <v>5</v>
      </c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72"/>
      <c r="AB59" s="175" t="str">
        <f t="shared" si="19"/>
        <v>Julian Brandt</v>
      </c>
    </row>
    <row r="60" spans="1:28" s="113" customFormat="1" ht="10.5" customHeight="1" x14ac:dyDescent="0.2">
      <c r="A60" s="200">
        <v>20</v>
      </c>
      <c r="B60" s="190" t="s">
        <v>415</v>
      </c>
      <c r="C60" s="190" t="s">
        <v>2</v>
      </c>
      <c r="D60" s="191" t="s">
        <v>59</v>
      </c>
      <c r="E60" s="191" t="s">
        <v>59</v>
      </c>
      <c r="F60" s="192" t="s">
        <v>59</v>
      </c>
      <c r="G60" s="192" t="s">
        <v>59</v>
      </c>
      <c r="H60" s="192"/>
      <c r="I60" s="191"/>
      <c r="J60" s="181"/>
      <c r="K60" s="182"/>
      <c r="L60" s="182"/>
      <c r="M60" s="182"/>
      <c r="N60" s="182"/>
      <c r="O60" s="182"/>
      <c r="P60" s="182"/>
      <c r="Q60" s="182"/>
      <c r="R60" s="182"/>
      <c r="S60" s="182">
        <v>5</v>
      </c>
      <c r="T60" s="182"/>
      <c r="U60" s="182"/>
      <c r="V60" s="182"/>
      <c r="W60" s="182"/>
      <c r="X60" s="182"/>
      <c r="Y60" s="182"/>
      <c r="Z60" s="172"/>
      <c r="AB60" s="175" t="str">
        <f t="shared" si="19"/>
        <v>Marcel Sabitzer (A)</v>
      </c>
    </row>
    <row r="61" spans="1:28" s="113" customFormat="1" ht="10.5" customHeight="1" x14ac:dyDescent="0.2">
      <c r="A61" s="200">
        <v>23</v>
      </c>
      <c r="B61" s="190" t="s">
        <v>218</v>
      </c>
      <c r="C61" s="190" t="s">
        <v>2</v>
      </c>
      <c r="D61" s="191" t="s">
        <v>59</v>
      </c>
      <c r="E61" s="191" t="s">
        <v>59</v>
      </c>
      <c r="F61" s="192" t="s">
        <v>59</v>
      </c>
      <c r="G61" s="192" t="s">
        <v>59</v>
      </c>
      <c r="H61" s="192"/>
      <c r="I61" s="191"/>
      <c r="J61" s="181"/>
      <c r="K61" s="182"/>
      <c r="L61" s="182"/>
      <c r="M61" s="182"/>
      <c r="N61" s="182"/>
      <c r="O61" s="182">
        <v>6</v>
      </c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72"/>
      <c r="AB61" s="175" t="str">
        <f t="shared" si="19"/>
        <v>Emre Can</v>
      </c>
    </row>
    <row r="62" spans="1:28" s="113" customFormat="1" ht="10.5" customHeight="1" x14ac:dyDescent="0.2">
      <c r="A62" s="200">
        <v>30</v>
      </c>
      <c r="B62" s="190" t="s">
        <v>416</v>
      </c>
      <c r="C62" s="190" t="s">
        <v>2</v>
      </c>
      <c r="D62" s="191" t="s">
        <v>59</v>
      </c>
      <c r="E62" s="191" t="s">
        <v>59</v>
      </c>
      <c r="F62" s="192" t="s">
        <v>59</v>
      </c>
      <c r="G62" s="192" t="s">
        <v>59</v>
      </c>
      <c r="H62" s="192"/>
      <c r="I62" s="191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72"/>
      <c r="AB62" s="175" t="str">
        <f t="shared" si="19"/>
        <v>Ole Pohlmann</v>
      </c>
    </row>
    <row r="63" spans="1:28" s="113" customFormat="1" ht="10.5" customHeight="1" x14ac:dyDescent="0.2">
      <c r="A63" s="200">
        <v>32</v>
      </c>
      <c r="B63" s="190" t="s">
        <v>267</v>
      </c>
      <c r="C63" s="190" t="s">
        <v>2</v>
      </c>
      <c r="D63" s="191" t="s">
        <v>59</v>
      </c>
      <c r="E63" s="191" t="s">
        <v>59</v>
      </c>
      <c r="F63" s="192" t="s">
        <v>59</v>
      </c>
      <c r="G63" s="192" t="s">
        <v>59</v>
      </c>
      <c r="H63" s="192"/>
      <c r="I63" s="191"/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72"/>
      <c r="AB63" s="175" t="str">
        <f t="shared" ref="AB63" si="21">B63</f>
        <v>Abdoulaye Kamara (A)</v>
      </c>
    </row>
    <row r="64" spans="1:28" s="113" customFormat="1" ht="10.5" customHeight="1" x14ac:dyDescent="0.2">
      <c r="A64" s="200">
        <v>48</v>
      </c>
      <c r="B64" s="190" t="s">
        <v>551</v>
      </c>
      <c r="C64" s="190" t="s">
        <v>2</v>
      </c>
      <c r="D64" s="191" t="s">
        <v>59</v>
      </c>
      <c r="E64" s="191" t="s">
        <v>59</v>
      </c>
      <c r="F64" s="192" t="s">
        <v>59</v>
      </c>
      <c r="G64" s="192" t="s">
        <v>59</v>
      </c>
      <c r="H64" s="192"/>
      <c r="I64" s="191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72"/>
      <c r="AB64" s="175" t="str">
        <f t="shared" si="19"/>
        <v>Samuel Bamba</v>
      </c>
    </row>
    <row r="65" spans="1:28" ht="10.5" customHeight="1" x14ac:dyDescent="0.2">
      <c r="A65" s="201">
        <v>9</v>
      </c>
      <c r="B65" s="195" t="s">
        <v>328</v>
      </c>
      <c r="C65" s="195" t="s">
        <v>3</v>
      </c>
      <c r="D65" s="196" t="s">
        <v>59</v>
      </c>
      <c r="E65" s="196" t="s">
        <v>59</v>
      </c>
      <c r="F65" s="196" t="s">
        <v>59</v>
      </c>
      <c r="G65" s="196" t="s">
        <v>59</v>
      </c>
      <c r="H65" s="197"/>
      <c r="I65" s="19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>B65</f>
        <v>Sebastien Haller (A)</v>
      </c>
    </row>
    <row r="66" spans="1:28" ht="10.5" customHeight="1" x14ac:dyDescent="0.2">
      <c r="A66" s="201">
        <v>14</v>
      </c>
      <c r="B66" s="195" t="s">
        <v>374</v>
      </c>
      <c r="C66" s="195" t="s">
        <v>3</v>
      </c>
      <c r="D66" s="196" t="s">
        <v>59</v>
      </c>
      <c r="E66" s="196" t="s">
        <v>59</v>
      </c>
      <c r="F66" s="196" t="s">
        <v>59</v>
      </c>
      <c r="G66" s="196" t="s">
        <v>59</v>
      </c>
      <c r="H66" s="197"/>
      <c r="I66" s="196"/>
      <c r="J66" s="181"/>
      <c r="K66" s="182"/>
      <c r="L66" s="182">
        <v>11</v>
      </c>
      <c r="M66" s="182"/>
      <c r="N66" s="182"/>
      <c r="O66" s="182"/>
      <c r="P66" s="182">
        <v>11</v>
      </c>
      <c r="Q66" s="182"/>
      <c r="R66" s="182"/>
      <c r="S66" s="182">
        <v>10</v>
      </c>
      <c r="T66" s="182"/>
      <c r="U66" s="182"/>
      <c r="V66" s="182"/>
      <c r="W66" s="182"/>
      <c r="X66" s="182"/>
      <c r="Y66" s="182"/>
      <c r="AB66" s="175" t="str">
        <f>B66</f>
        <v>Niclas Füllkrug</v>
      </c>
    </row>
    <row r="67" spans="1:28" ht="10.5" customHeight="1" x14ac:dyDescent="0.2">
      <c r="A67" s="201">
        <v>16</v>
      </c>
      <c r="B67" s="195" t="s">
        <v>393</v>
      </c>
      <c r="C67" s="195" t="s">
        <v>3</v>
      </c>
      <c r="D67" s="196" t="s">
        <v>59</v>
      </c>
      <c r="E67" s="196" t="s">
        <v>59</v>
      </c>
      <c r="F67" s="196" t="s">
        <v>59</v>
      </c>
      <c r="G67" s="196" t="s">
        <v>59</v>
      </c>
      <c r="H67" s="197"/>
      <c r="I67" s="19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>B67</f>
        <v>Julien Duranville (A)</v>
      </c>
    </row>
    <row r="68" spans="1:28" ht="10.5" customHeight="1" x14ac:dyDescent="0.2">
      <c r="A68" s="201">
        <v>18</v>
      </c>
      <c r="B68" s="195" t="s">
        <v>268</v>
      </c>
      <c r="C68" s="195" t="s">
        <v>3</v>
      </c>
      <c r="D68" s="196" t="s">
        <v>59</v>
      </c>
      <c r="E68" s="196" t="s">
        <v>59</v>
      </c>
      <c r="F68" s="196" t="s">
        <v>59</v>
      </c>
      <c r="G68" s="196" t="s">
        <v>59</v>
      </c>
      <c r="H68" s="197"/>
      <c r="I68" s="19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ref="AB68:AB72" si="22">B68</f>
        <v xml:space="preserve">Youssoufa Moukoko </v>
      </c>
    </row>
    <row r="69" spans="1:28" ht="10.5" customHeight="1" x14ac:dyDescent="0.2">
      <c r="A69" s="201">
        <v>21</v>
      </c>
      <c r="B69" s="195" t="s">
        <v>269</v>
      </c>
      <c r="C69" s="195" t="s">
        <v>3</v>
      </c>
      <c r="D69" s="196" t="s">
        <v>59</v>
      </c>
      <c r="E69" s="196" t="s">
        <v>59</v>
      </c>
      <c r="F69" s="196" t="s">
        <v>59</v>
      </c>
      <c r="G69" s="196" t="s">
        <v>59</v>
      </c>
      <c r="H69" s="197"/>
      <c r="I69" s="19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ref="AB69" si="23">B69</f>
        <v>Donyell Malen (A)</v>
      </c>
    </row>
    <row r="70" spans="1:28" ht="10.5" customHeight="1" x14ac:dyDescent="0.2">
      <c r="A70" s="201">
        <v>27</v>
      </c>
      <c r="B70" s="195" t="s">
        <v>329</v>
      </c>
      <c r="C70" s="195" t="s">
        <v>3</v>
      </c>
      <c r="D70" s="196" t="s">
        <v>59</v>
      </c>
      <c r="E70" s="196" t="s">
        <v>59</v>
      </c>
      <c r="F70" s="196" t="s">
        <v>59</v>
      </c>
      <c r="G70" s="196" t="s">
        <v>59</v>
      </c>
      <c r="H70" s="197"/>
      <c r="I70" s="196"/>
      <c r="J70" s="181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AB70" s="175" t="str">
        <f t="shared" si="22"/>
        <v>Karim Adeyemi</v>
      </c>
    </row>
    <row r="71" spans="1:28" ht="9.75" customHeight="1" x14ac:dyDescent="0.2">
      <c r="A71" s="201">
        <v>29</v>
      </c>
      <c r="B71" s="195" t="s">
        <v>636</v>
      </c>
      <c r="C71" s="195" t="s">
        <v>3</v>
      </c>
      <c r="D71" s="196" t="s">
        <v>59</v>
      </c>
      <c r="E71" s="196" t="s">
        <v>59</v>
      </c>
      <c r="F71" s="196" t="s">
        <v>59</v>
      </c>
      <c r="G71" s="196" t="s">
        <v>59</v>
      </c>
      <c r="H71" s="197"/>
      <c r="I71" s="196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" si="24">B71</f>
        <v>Paris Brunner</v>
      </c>
    </row>
    <row r="72" spans="1:28" ht="9.75" customHeight="1" x14ac:dyDescent="0.2">
      <c r="A72" s="201">
        <v>43</v>
      </c>
      <c r="B72" s="195" t="s">
        <v>330</v>
      </c>
      <c r="C72" s="195" t="s">
        <v>3</v>
      </c>
      <c r="D72" s="196" t="s">
        <v>59</v>
      </c>
      <c r="E72" s="196" t="s">
        <v>59</v>
      </c>
      <c r="F72" s="196" t="s">
        <v>59</v>
      </c>
      <c r="G72" s="196" t="s">
        <v>59</v>
      </c>
      <c r="H72" s="197"/>
      <c r="I72" s="196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22"/>
        <v>Jamie Bynoe-Gittens (A)</v>
      </c>
    </row>
    <row r="73" spans="1:28" ht="15" customHeight="1" thickBot="1" x14ac:dyDescent="0.25">
      <c r="A73" s="219" t="s">
        <v>128</v>
      </c>
      <c r="B73" s="219"/>
      <c r="C73" s="219"/>
      <c r="D73" s="219"/>
      <c r="E73" s="219"/>
      <c r="F73" s="219"/>
      <c r="G73" s="219"/>
      <c r="H73" s="219"/>
      <c r="I73" s="219"/>
      <c r="J73" s="10"/>
      <c r="K73" s="176">
        <v>12</v>
      </c>
      <c r="L73" s="176">
        <v>12</v>
      </c>
      <c r="M73" s="176">
        <v>12</v>
      </c>
      <c r="N73" s="176">
        <v>12</v>
      </c>
      <c r="O73" s="176">
        <v>12</v>
      </c>
      <c r="P73" s="176">
        <v>12</v>
      </c>
      <c r="Q73" s="176">
        <v>12</v>
      </c>
      <c r="R73" s="176">
        <v>12</v>
      </c>
      <c r="S73" s="176">
        <v>12</v>
      </c>
      <c r="T73" s="176">
        <v>12</v>
      </c>
      <c r="U73" s="176">
        <v>12</v>
      </c>
      <c r="V73" s="176">
        <v>12</v>
      </c>
      <c r="W73" s="176">
        <v>12</v>
      </c>
      <c r="X73" s="176">
        <v>12</v>
      </c>
      <c r="Y73" s="176">
        <v>12</v>
      </c>
      <c r="Z73" s="217"/>
      <c r="AB73" s="175" t="str">
        <f>A73</f>
        <v>RB Leipzig</v>
      </c>
    </row>
    <row r="74" spans="1:28" ht="10.5" customHeight="1" x14ac:dyDescent="0.2">
      <c r="A74" s="177">
        <v>1</v>
      </c>
      <c r="B74" s="178" t="s">
        <v>574</v>
      </c>
      <c r="C74" s="178" t="s">
        <v>0</v>
      </c>
      <c r="D74" s="179" t="s">
        <v>59</v>
      </c>
      <c r="E74" s="179" t="s">
        <v>59</v>
      </c>
      <c r="F74" s="180" t="s">
        <v>59</v>
      </c>
      <c r="G74" s="180" t="s">
        <v>59</v>
      </c>
      <c r="H74" s="180"/>
      <c r="I74" s="179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ref="AB74:AB86" si="25">B74</f>
        <v>Péter Gulácsi (A)</v>
      </c>
    </row>
    <row r="75" spans="1:28" ht="10.5" customHeight="1" x14ac:dyDescent="0.2">
      <c r="A75" s="177">
        <v>21</v>
      </c>
      <c r="B75" s="178" t="s">
        <v>332</v>
      </c>
      <c r="C75" s="178" t="s">
        <v>0</v>
      </c>
      <c r="D75" s="179" t="s">
        <v>59</v>
      </c>
      <c r="E75" s="179" t="s">
        <v>59</v>
      </c>
      <c r="F75" s="180" t="s">
        <v>59</v>
      </c>
      <c r="G75" s="180" t="s">
        <v>59</v>
      </c>
      <c r="H75" s="180"/>
      <c r="I75" s="179"/>
      <c r="J75" s="181"/>
      <c r="K75" s="182"/>
      <c r="L75" s="182"/>
      <c r="M75" s="182">
        <v>1</v>
      </c>
      <c r="N75" s="182"/>
      <c r="O75" s="182"/>
      <c r="P75" s="182">
        <v>1</v>
      </c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5"/>
        <v>Janis Blaswich</v>
      </c>
    </row>
    <row r="76" spans="1:28" ht="10.5" customHeight="1" x14ac:dyDescent="0.2">
      <c r="A76" s="177">
        <v>25</v>
      </c>
      <c r="B76" s="178" t="s">
        <v>417</v>
      </c>
      <c r="C76" s="178" t="s">
        <v>0</v>
      </c>
      <c r="D76" s="179" t="s">
        <v>59</v>
      </c>
      <c r="E76" s="179" t="s">
        <v>59</v>
      </c>
      <c r="F76" s="180" t="s">
        <v>59</v>
      </c>
      <c r="G76" s="180" t="s">
        <v>59</v>
      </c>
      <c r="H76" s="180"/>
      <c r="I76" s="179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si="25"/>
        <v>Leopold Zingerle</v>
      </c>
    </row>
    <row r="77" spans="1:28" ht="10.5" customHeight="1" x14ac:dyDescent="0.2">
      <c r="A77" s="177">
        <v>36</v>
      </c>
      <c r="B77" s="178" t="s">
        <v>333</v>
      </c>
      <c r="C77" s="178" t="s">
        <v>0</v>
      </c>
      <c r="D77" s="179" t="s">
        <v>59</v>
      </c>
      <c r="E77" s="179" t="s">
        <v>59</v>
      </c>
      <c r="F77" s="180" t="s">
        <v>59</v>
      </c>
      <c r="G77" s="180" t="s">
        <v>59</v>
      </c>
      <c r="H77" s="180"/>
      <c r="I77" s="179"/>
      <c r="J77" s="181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ref="AB77:AB78" si="26">B77</f>
        <v>Timo Schlieck</v>
      </c>
    </row>
    <row r="78" spans="1:28" ht="10.5" customHeight="1" x14ac:dyDescent="0.2">
      <c r="A78" s="198">
        <v>2</v>
      </c>
      <c r="B78" s="199" t="s">
        <v>265</v>
      </c>
      <c r="C78" s="185" t="s">
        <v>1</v>
      </c>
      <c r="D78" s="186" t="s">
        <v>59</v>
      </c>
      <c r="E78" s="186" t="s">
        <v>59</v>
      </c>
      <c r="F78" s="187" t="s">
        <v>59</v>
      </c>
      <c r="G78" s="187" t="s">
        <v>59</v>
      </c>
      <c r="H78" s="187"/>
      <c r="I78" s="186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6"/>
        <v>Mohamed Simakan (A)</v>
      </c>
    </row>
    <row r="79" spans="1:28" ht="10.5" customHeight="1" x14ac:dyDescent="0.2">
      <c r="A79" s="198">
        <v>3</v>
      </c>
      <c r="B79" s="199" t="s">
        <v>208</v>
      </c>
      <c r="C79" s="185" t="s">
        <v>1</v>
      </c>
      <c r="D79" s="186" t="s">
        <v>59</v>
      </c>
      <c r="E79" s="186" t="s">
        <v>59</v>
      </c>
      <c r="F79" s="187" t="s">
        <v>59</v>
      </c>
      <c r="G79" s="187" t="s">
        <v>59</v>
      </c>
      <c r="H79" s="187"/>
      <c r="I79" s="186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ref="AB79" si="27">B79</f>
        <v>Christopher Lenz</v>
      </c>
    </row>
    <row r="80" spans="1:28" ht="10.5" customHeight="1" x14ac:dyDescent="0.2">
      <c r="A80" s="198">
        <v>4</v>
      </c>
      <c r="B80" s="199" t="s">
        <v>145</v>
      </c>
      <c r="C80" s="185" t="s">
        <v>1</v>
      </c>
      <c r="D80" s="186" t="s">
        <v>59</v>
      </c>
      <c r="E80" s="186" t="s">
        <v>59</v>
      </c>
      <c r="F80" s="187" t="s">
        <v>59</v>
      </c>
      <c r="G80" s="187" t="s">
        <v>59</v>
      </c>
      <c r="H80" s="187"/>
      <c r="I80" s="186"/>
      <c r="J80" s="181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AB80" s="175" t="str">
        <f t="shared" si="25"/>
        <v>Willi Orban</v>
      </c>
    </row>
    <row r="81" spans="1:28" ht="10.5" customHeight="1" x14ac:dyDescent="0.2">
      <c r="A81" s="198">
        <v>5</v>
      </c>
      <c r="B81" s="199" t="s">
        <v>418</v>
      </c>
      <c r="C81" s="185" t="s">
        <v>1</v>
      </c>
      <c r="D81" s="186" t="s">
        <v>59</v>
      </c>
      <c r="E81" s="186" t="s">
        <v>59</v>
      </c>
      <c r="F81" s="187" t="s">
        <v>59</v>
      </c>
      <c r="G81" s="187" t="s">
        <v>59</v>
      </c>
      <c r="H81" s="187"/>
      <c r="I81" s="186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si="25"/>
        <v>El Chadaille Bitshiabu (A)</v>
      </c>
    </row>
    <row r="82" spans="1:28" ht="10.5" customHeight="1" x14ac:dyDescent="0.2">
      <c r="A82" s="198">
        <v>16</v>
      </c>
      <c r="B82" s="199" t="s">
        <v>149</v>
      </c>
      <c r="C82" s="185" t="s">
        <v>1</v>
      </c>
      <c r="D82" s="186" t="s">
        <v>59</v>
      </c>
      <c r="E82" s="186" t="s">
        <v>59</v>
      </c>
      <c r="F82" s="187" t="s">
        <v>59</v>
      </c>
      <c r="G82" s="187" t="s">
        <v>59</v>
      </c>
      <c r="H82" s="187"/>
      <c r="I82" s="186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AB82" s="175" t="str">
        <f t="shared" si="25"/>
        <v>Lukas Klostermann</v>
      </c>
    </row>
    <row r="83" spans="1:28" ht="10.5" customHeight="1" x14ac:dyDescent="0.2">
      <c r="A83" s="198">
        <v>22</v>
      </c>
      <c r="B83" s="199" t="s">
        <v>284</v>
      </c>
      <c r="C83" s="185" t="s">
        <v>1</v>
      </c>
      <c r="D83" s="186" t="s">
        <v>59</v>
      </c>
      <c r="E83" s="186" t="s">
        <v>59</v>
      </c>
      <c r="F83" s="187" t="s">
        <v>59</v>
      </c>
      <c r="G83" s="187" t="s">
        <v>59</v>
      </c>
      <c r="H83" s="187"/>
      <c r="I83" s="186"/>
      <c r="J83" s="181"/>
      <c r="K83" s="182"/>
      <c r="L83" s="182">
        <v>4</v>
      </c>
      <c r="M83" s="182"/>
      <c r="N83" s="182">
        <v>3</v>
      </c>
      <c r="O83" s="182">
        <v>2</v>
      </c>
      <c r="P83" s="182">
        <v>2</v>
      </c>
      <c r="Q83" s="182"/>
      <c r="R83" s="182">
        <v>2</v>
      </c>
      <c r="S83" s="182">
        <v>2</v>
      </c>
      <c r="T83" s="182"/>
      <c r="U83" s="182"/>
      <c r="V83" s="182"/>
      <c r="W83" s="182"/>
      <c r="X83" s="182"/>
      <c r="Y83" s="182"/>
      <c r="AB83" s="175" t="str">
        <f t="shared" si="25"/>
        <v>David Raum</v>
      </c>
    </row>
    <row r="84" spans="1:28" ht="10.5" customHeight="1" x14ac:dyDescent="0.2">
      <c r="A84" s="198">
        <v>23</v>
      </c>
      <c r="B84" s="199" t="s">
        <v>548</v>
      </c>
      <c r="C84" s="185" t="s">
        <v>1</v>
      </c>
      <c r="D84" s="186" t="s">
        <v>59</v>
      </c>
      <c r="E84" s="186" t="s">
        <v>59</v>
      </c>
      <c r="F84" s="187" t="s">
        <v>59</v>
      </c>
      <c r="G84" s="187" t="s">
        <v>59</v>
      </c>
      <c r="H84" s="187"/>
      <c r="I84" s="186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si="25"/>
        <v>Castello Lukeba (A)</v>
      </c>
    </row>
    <row r="85" spans="1:28" ht="10.5" customHeight="1" x14ac:dyDescent="0.2">
      <c r="A85" s="198">
        <v>31</v>
      </c>
      <c r="B85" s="199" t="s">
        <v>637</v>
      </c>
      <c r="C85" s="185" t="s">
        <v>1</v>
      </c>
      <c r="D85" s="186" t="s">
        <v>59</v>
      </c>
      <c r="E85" s="186" t="s">
        <v>59</v>
      </c>
      <c r="F85" s="187" t="s">
        <v>59</v>
      </c>
      <c r="G85" s="187" t="s">
        <v>59</v>
      </c>
      <c r="H85" s="187"/>
      <c r="I85" s="186"/>
      <c r="J85" s="181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ref="AB85" si="28">B85</f>
        <v>Tim Köhler</v>
      </c>
    </row>
    <row r="86" spans="1:28" ht="10.5" customHeight="1" x14ac:dyDescent="0.2">
      <c r="A86" s="198">
        <v>39</v>
      </c>
      <c r="B86" s="199" t="s">
        <v>230</v>
      </c>
      <c r="C86" s="185" t="s">
        <v>1</v>
      </c>
      <c r="D86" s="186" t="s">
        <v>59</v>
      </c>
      <c r="E86" s="186" t="s">
        <v>59</v>
      </c>
      <c r="F86" s="187" t="s">
        <v>59</v>
      </c>
      <c r="G86" s="187" t="s">
        <v>59</v>
      </c>
      <c r="H86" s="187"/>
      <c r="I86" s="186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5"/>
        <v>Benjamin Henrichs</v>
      </c>
    </row>
    <row r="87" spans="1:28" ht="10.5" customHeight="1" x14ac:dyDescent="0.2">
      <c r="A87" s="200">
        <v>6</v>
      </c>
      <c r="B87" s="190" t="s">
        <v>649</v>
      </c>
      <c r="C87" s="190" t="s">
        <v>2</v>
      </c>
      <c r="D87" s="191" t="s">
        <v>59</v>
      </c>
      <c r="E87" s="191" t="s">
        <v>59</v>
      </c>
      <c r="F87" s="192" t="s">
        <v>59</v>
      </c>
      <c r="G87" s="192" t="s">
        <v>59</v>
      </c>
      <c r="H87" s="192"/>
      <c r="I87" s="191"/>
      <c r="J87" s="181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AB87" s="175" t="str">
        <f t="shared" ref="AB87:AB92" si="29">B87</f>
        <v>Eljif Elmans (A)</v>
      </c>
    </row>
    <row r="88" spans="1:28" ht="10.5" customHeight="1" x14ac:dyDescent="0.2">
      <c r="A88" s="200">
        <v>7</v>
      </c>
      <c r="B88" s="190" t="s">
        <v>217</v>
      </c>
      <c r="C88" s="190" t="s">
        <v>2</v>
      </c>
      <c r="D88" s="191"/>
      <c r="E88" s="191"/>
      <c r="F88" s="192"/>
      <c r="G88" s="192"/>
      <c r="H88" s="192"/>
      <c r="I88" s="191"/>
      <c r="J88" s="181"/>
      <c r="K88" s="182">
        <v>5</v>
      </c>
      <c r="L88" s="182"/>
      <c r="M88" s="182">
        <v>5</v>
      </c>
      <c r="N88" s="182"/>
      <c r="O88" s="182">
        <v>8</v>
      </c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 t="shared" si="29"/>
        <v>Dani Olmo (A)</v>
      </c>
    </row>
    <row r="89" spans="1:28" ht="10.5" customHeight="1" x14ac:dyDescent="0.2">
      <c r="A89" s="200">
        <v>8</v>
      </c>
      <c r="B89" s="190" t="s">
        <v>184</v>
      </c>
      <c r="C89" s="190" t="s">
        <v>2</v>
      </c>
      <c r="D89" s="191"/>
      <c r="E89" s="191"/>
      <c r="F89" s="192"/>
      <c r="G89" s="192"/>
      <c r="H89" s="192"/>
      <c r="I89" s="191"/>
      <c r="J89" s="181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si="29"/>
        <v>Amadou Haidara (A)</v>
      </c>
    </row>
    <row r="90" spans="1:28" ht="10.5" customHeight="1" x14ac:dyDescent="0.2">
      <c r="A90" s="200">
        <v>13</v>
      </c>
      <c r="B90" s="190" t="s">
        <v>419</v>
      </c>
      <c r="C90" s="190" t="s">
        <v>2</v>
      </c>
      <c r="D90" s="191"/>
      <c r="E90" s="191"/>
      <c r="F90" s="192"/>
      <c r="G90" s="192"/>
      <c r="H90" s="192"/>
      <c r="I90" s="191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si="29"/>
        <v>Nicolas Seiwald (A)</v>
      </c>
    </row>
    <row r="91" spans="1:28" ht="10.5" customHeight="1" x14ac:dyDescent="0.2">
      <c r="A91" s="200">
        <v>14</v>
      </c>
      <c r="B91" s="190" t="s">
        <v>163</v>
      </c>
      <c r="C91" s="190" t="s">
        <v>2</v>
      </c>
      <c r="D91" s="191"/>
      <c r="E91" s="191"/>
      <c r="F91" s="192"/>
      <c r="G91" s="192"/>
      <c r="H91" s="192"/>
      <c r="I91" s="191"/>
      <c r="J91" s="181"/>
      <c r="K91" s="182"/>
      <c r="L91" s="182"/>
      <c r="M91" s="182"/>
      <c r="N91" s="182">
        <v>6</v>
      </c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9"/>
        <v>Christoph Baumgartner (A)</v>
      </c>
    </row>
    <row r="92" spans="1:28" ht="10.5" customHeight="1" x14ac:dyDescent="0.2">
      <c r="A92" s="200">
        <v>20</v>
      </c>
      <c r="B92" s="190" t="s">
        <v>420</v>
      </c>
      <c r="C92" s="190" t="s">
        <v>2</v>
      </c>
      <c r="D92" s="191" t="s">
        <v>59</v>
      </c>
      <c r="E92" s="191" t="s">
        <v>59</v>
      </c>
      <c r="F92" s="192" t="s">
        <v>59</v>
      </c>
      <c r="G92" s="192" t="s">
        <v>59</v>
      </c>
      <c r="H92" s="192"/>
      <c r="I92" s="191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si="29"/>
        <v>Xavi Simons (A)</v>
      </c>
    </row>
    <row r="93" spans="1:28" ht="10.5" customHeight="1" x14ac:dyDescent="0.2">
      <c r="A93" s="200">
        <v>24</v>
      </c>
      <c r="B93" s="190" t="s">
        <v>189</v>
      </c>
      <c r="C93" s="190" t="s">
        <v>2</v>
      </c>
      <c r="D93" s="191" t="s">
        <v>59</v>
      </c>
      <c r="E93" s="191" t="s">
        <v>59</v>
      </c>
      <c r="F93" s="192" t="s">
        <v>59</v>
      </c>
      <c r="G93" s="192" t="s">
        <v>59</v>
      </c>
      <c r="H93" s="192"/>
      <c r="I93" s="191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 t="shared" ref="AB93:AB94" si="30">B93</f>
        <v>Xaver Schlager (A)</v>
      </c>
    </row>
    <row r="94" spans="1:28" ht="10.5" customHeight="1" x14ac:dyDescent="0.2">
      <c r="A94" s="200">
        <v>38</v>
      </c>
      <c r="B94" s="190" t="s">
        <v>671</v>
      </c>
      <c r="C94" s="190" t="s">
        <v>2</v>
      </c>
      <c r="D94" s="191" t="s">
        <v>59</v>
      </c>
      <c r="E94" s="191" t="s">
        <v>59</v>
      </c>
      <c r="F94" s="192" t="s">
        <v>59</v>
      </c>
      <c r="G94" s="192" t="s">
        <v>59</v>
      </c>
      <c r="H94" s="192"/>
      <c r="I94" s="191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si="30"/>
        <v>Nuha Jatta</v>
      </c>
    </row>
    <row r="95" spans="1:28" ht="10.5" customHeight="1" x14ac:dyDescent="0.2">
      <c r="A95" s="200">
        <v>44</v>
      </c>
      <c r="B95" s="190" t="s">
        <v>126</v>
      </c>
      <c r="C95" s="190" t="s">
        <v>2</v>
      </c>
      <c r="D95" s="191" t="s">
        <v>59</v>
      </c>
      <c r="E95" s="191" t="s">
        <v>59</v>
      </c>
      <c r="F95" s="192" t="s">
        <v>59</v>
      </c>
      <c r="G95" s="192" t="s">
        <v>59</v>
      </c>
      <c r="H95" s="192"/>
      <c r="I95" s="191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1">B95</f>
        <v>Kevin Kampl (A)</v>
      </c>
    </row>
    <row r="96" spans="1:28" ht="10.5" customHeight="1" x14ac:dyDescent="0.2">
      <c r="A96" s="201">
        <v>9</v>
      </c>
      <c r="B96" s="195" t="s">
        <v>137</v>
      </c>
      <c r="C96" s="195" t="s">
        <v>3</v>
      </c>
      <c r="D96" s="196" t="s">
        <v>59</v>
      </c>
      <c r="E96" s="196" t="s">
        <v>59</v>
      </c>
      <c r="F96" s="197" t="s">
        <v>59</v>
      </c>
      <c r="G96" s="197" t="s">
        <v>59</v>
      </c>
      <c r="H96" s="197"/>
      <c r="I96" s="19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>B96</f>
        <v>Yussuf Poulsen (A)</v>
      </c>
    </row>
    <row r="97" spans="1:28" ht="10.5" customHeight="1" x14ac:dyDescent="0.2">
      <c r="A97" s="201">
        <v>17</v>
      </c>
      <c r="B97" s="195" t="s">
        <v>573</v>
      </c>
      <c r="C97" s="195" t="s">
        <v>3</v>
      </c>
      <c r="D97" s="196" t="s">
        <v>59</v>
      </c>
      <c r="E97" s="196" t="s">
        <v>59</v>
      </c>
      <c r="F97" s="197" t="s">
        <v>59</v>
      </c>
      <c r="G97" s="197" t="s">
        <v>59</v>
      </c>
      <c r="H97" s="197"/>
      <c r="I97" s="196"/>
      <c r="J97" s="181"/>
      <c r="K97" s="182">
        <v>10</v>
      </c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AB97" s="175" t="str">
        <f t="shared" ref="AB97:AB99" si="32">B97</f>
        <v>Loїs Openda (A)</v>
      </c>
    </row>
    <row r="98" spans="1:28" ht="10.5" customHeight="1" x14ac:dyDescent="0.2">
      <c r="A98" s="201">
        <v>30</v>
      </c>
      <c r="B98" s="195" t="s">
        <v>575</v>
      </c>
      <c r="C98" s="195" t="s">
        <v>3</v>
      </c>
      <c r="D98" s="196" t="s">
        <v>59</v>
      </c>
      <c r="E98" s="196" t="s">
        <v>59</v>
      </c>
      <c r="F98" s="197" t="s">
        <v>59</v>
      </c>
      <c r="G98" s="197" t="s">
        <v>59</v>
      </c>
      <c r="H98" s="197"/>
      <c r="I98" s="196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 t="shared" ref="AB98" si="33">B98</f>
        <v>Benjamin Šeško (A)</v>
      </c>
    </row>
    <row r="99" spans="1:28" ht="10.5" customHeight="1" x14ac:dyDescent="0.2">
      <c r="A99" s="201">
        <v>46</v>
      </c>
      <c r="B99" s="195" t="s">
        <v>656</v>
      </c>
      <c r="C99" s="195" t="s">
        <v>3</v>
      </c>
      <c r="D99" s="196" t="s">
        <v>59</v>
      </c>
      <c r="E99" s="196" t="s">
        <v>59</v>
      </c>
      <c r="F99" s="197" t="s">
        <v>59</v>
      </c>
      <c r="G99" s="197" t="s">
        <v>59</v>
      </c>
      <c r="H99" s="197"/>
      <c r="I99" s="196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si="32"/>
        <v>Yannick Eduardo (A)</v>
      </c>
    </row>
    <row r="100" spans="1:28" ht="15" customHeight="1" thickBot="1" x14ac:dyDescent="0.25">
      <c r="A100" s="219" t="s">
        <v>177</v>
      </c>
      <c r="B100" s="219"/>
      <c r="C100" s="219"/>
      <c r="D100" s="219"/>
      <c r="E100" s="219"/>
      <c r="F100" s="219"/>
      <c r="G100" s="219"/>
      <c r="H100" s="219"/>
      <c r="I100" s="219"/>
      <c r="J100" s="10"/>
      <c r="K100" s="176">
        <v>12</v>
      </c>
      <c r="L100" s="176">
        <v>12</v>
      </c>
      <c r="M100" s="176">
        <v>12</v>
      </c>
      <c r="N100" s="176">
        <v>12</v>
      </c>
      <c r="O100" s="176">
        <v>12</v>
      </c>
      <c r="P100" s="176">
        <v>12</v>
      </c>
      <c r="Q100" s="176">
        <v>12</v>
      </c>
      <c r="R100" s="176">
        <v>12</v>
      </c>
      <c r="S100" s="176">
        <v>12</v>
      </c>
      <c r="T100" s="176">
        <v>12</v>
      </c>
      <c r="U100" s="176">
        <v>12</v>
      </c>
      <c r="V100" s="176">
        <v>12</v>
      </c>
      <c r="W100" s="176">
        <v>12</v>
      </c>
      <c r="X100" s="176">
        <v>12</v>
      </c>
      <c r="Y100" s="176">
        <v>12</v>
      </c>
      <c r="Z100" s="217"/>
      <c r="AB100" s="175" t="str">
        <f>A100</f>
        <v>1.FC Union Berlin</v>
      </c>
    </row>
    <row r="101" spans="1:28" ht="10.5" customHeight="1" x14ac:dyDescent="0.2">
      <c r="A101" s="177">
        <v>1</v>
      </c>
      <c r="B101" s="178" t="s">
        <v>576</v>
      </c>
      <c r="C101" s="178" t="s">
        <v>0</v>
      </c>
      <c r="D101" s="179" t="s">
        <v>59</v>
      </c>
      <c r="E101" s="179" t="s">
        <v>59</v>
      </c>
      <c r="F101" s="180" t="s">
        <v>59</v>
      </c>
      <c r="G101" s="180" t="s">
        <v>59</v>
      </c>
      <c r="H101" s="180"/>
      <c r="I101" s="179"/>
      <c r="J101" s="181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>B101</f>
        <v>Frederik Rønnow (A)</v>
      </c>
    </row>
    <row r="102" spans="1:28" ht="10.5" customHeight="1" x14ac:dyDescent="0.2">
      <c r="A102" s="177">
        <v>12</v>
      </c>
      <c r="B102" s="178" t="s">
        <v>206</v>
      </c>
      <c r="C102" s="178" t="s">
        <v>0</v>
      </c>
      <c r="D102" s="179" t="s">
        <v>59</v>
      </c>
      <c r="E102" s="179" t="s">
        <v>59</v>
      </c>
      <c r="F102" s="180" t="s">
        <v>59</v>
      </c>
      <c r="G102" s="180" t="s">
        <v>59</v>
      </c>
      <c r="H102" s="180"/>
      <c r="I102" s="179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:AB104" si="34">B102</f>
        <v>Jakob Busk (A)</v>
      </c>
    </row>
    <row r="103" spans="1:28" ht="10.5" customHeight="1" x14ac:dyDescent="0.2">
      <c r="A103" s="177">
        <v>37</v>
      </c>
      <c r="B103" s="178" t="s">
        <v>154</v>
      </c>
      <c r="C103" s="178" t="s">
        <v>0</v>
      </c>
      <c r="D103" s="179" t="s">
        <v>59</v>
      </c>
      <c r="E103" s="179" t="s">
        <v>59</v>
      </c>
      <c r="F103" s="180" t="s">
        <v>59</v>
      </c>
      <c r="G103" s="180" t="s">
        <v>59</v>
      </c>
      <c r="H103" s="180"/>
      <c r="I103" s="179"/>
      <c r="J103" s="181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ref="AB103" si="35">B103</f>
        <v>Alexander Schwolow</v>
      </c>
    </row>
    <row r="104" spans="1:28" ht="10.5" customHeight="1" x14ac:dyDescent="0.2">
      <c r="A104" s="177">
        <v>39</v>
      </c>
      <c r="B104" s="178" t="s">
        <v>421</v>
      </c>
      <c r="C104" s="178" t="s">
        <v>0</v>
      </c>
      <c r="D104" s="179" t="s">
        <v>59</v>
      </c>
      <c r="E104" s="179" t="s">
        <v>59</v>
      </c>
      <c r="F104" s="180" t="s">
        <v>59</v>
      </c>
      <c r="G104" s="180" t="s">
        <v>59</v>
      </c>
      <c r="H104" s="180"/>
      <c r="I104" s="179"/>
      <c r="J104" s="181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4"/>
        <v>Yannic Stein</v>
      </c>
    </row>
    <row r="105" spans="1:28" ht="10.5" customHeight="1" x14ac:dyDescent="0.2">
      <c r="A105" s="198">
        <v>2</v>
      </c>
      <c r="B105" s="199" t="s">
        <v>112</v>
      </c>
      <c r="C105" s="185" t="s">
        <v>1</v>
      </c>
      <c r="D105" s="186" t="s">
        <v>59</v>
      </c>
      <c r="E105" s="186" t="s">
        <v>59</v>
      </c>
      <c r="F105" s="187" t="s">
        <v>59</v>
      </c>
      <c r="G105" s="187" t="s">
        <v>59</v>
      </c>
      <c r="H105" s="187"/>
      <c r="I105" s="186"/>
      <c r="J105" s="181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ref="AB105" si="36">B105</f>
        <v>Kevin Vogt</v>
      </c>
    </row>
    <row r="106" spans="1:28" ht="10.5" customHeight="1" x14ac:dyDescent="0.2">
      <c r="A106" s="198">
        <v>3</v>
      </c>
      <c r="B106" s="199" t="s">
        <v>275</v>
      </c>
      <c r="C106" s="185" t="s">
        <v>1</v>
      </c>
      <c r="D106" s="186" t="s">
        <v>59</v>
      </c>
      <c r="E106" s="186" t="s">
        <v>59</v>
      </c>
      <c r="F106" s="187" t="s">
        <v>59</v>
      </c>
      <c r="G106" s="187" t="s">
        <v>59</v>
      </c>
      <c r="H106" s="187"/>
      <c r="I106" s="186"/>
      <c r="J106" s="181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ref="AB106:AB110" si="37">B106</f>
        <v>Paul Jaeckel</v>
      </c>
    </row>
    <row r="107" spans="1:28" ht="10.5" customHeight="1" x14ac:dyDescent="0.2">
      <c r="A107" s="198">
        <v>4</v>
      </c>
      <c r="B107" s="199" t="s">
        <v>335</v>
      </c>
      <c r="C107" s="185" t="s">
        <v>1</v>
      </c>
      <c r="D107" s="186" t="s">
        <v>59</v>
      </c>
      <c r="E107" s="186" t="s">
        <v>59</v>
      </c>
      <c r="F107" s="187" t="s">
        <v>59</v>
      </c>
      <c r="G107" s="187" t="s">
        <v>59</v>
      </c>
      <c r="H107" s="187"/>
      <c r="I107" s="186"/>
      <c r="J107" s="181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si="37"/>
        <v>Diogo Leite (A)</v>
      </c>
    </row>
    <row r="108" spans="1:28" ht="10.5" customHeight="1" x14ac:dyDescent="0.2">
      <c r="A108" s="198">
        <v>5</v>
      </c>
      <c r="B108" s="199" t="s">
        <v>334</v>
      </c>
      <c r="C108" s="185" t="s">
        <v>1</v>
      </c>
      <c r="D108" s="186" t="s">
        <v>59</v>
      </c>
      <c r="E108" s="186" t="s">
        <v>59</v>
      </c>
      <c r="F108" s="187" t="s">
        <v>59</v>
      </c>
      <c r="G108" s="187" t="s">
        <v>59</v>
      </c>
      <c r="H108" s="187"/>
      <c r="I108" s="186"/>
      <c r="J108" s="181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si="37"/>
        <v>Danilho Doekhi (A)</v>
      </c>
    </row>
    <row r="109" spans="1:28" ht="10.5" customHeight="1" x14ac:dyDescent="0.2">
      <c r="A109" s="198">
        <v>6</v>
      </c>
      <c r="B109" s="199" t="s">
        <v>562</v>
      </c>
      <c r="C109" s="185" t="s">
        <v>1</v>
      </c>
      <c r="D109" s="186" t="s">
        <v>59</v>
      </c>
      <c r="E109" s="186" t="s">
        <v>59</v>
      </c>
      <c r="F109" s="187" t="s">
        <v>59</v>
      </c>
      <c r="G109" s="187" t="s">
        <v>59</v>
      </c>
      <c r="H109" s="187"/>
      <c r="I109" s="186"/>
      <c r="J109" s="181"/>
      <c r="K109" s="182"/>
      <c r="L109" s="182"/>
      <c r="M109" s="182"/>
      <c r="N109" s="182"/>
      <c r="O109" s="182"/>
      <c r="P109" s="182"/>
      <c r="Q109" s="182"/>
      <c r="R109" s="182"/>
      <c r="S109" s="182">
        <v>3</v>
      </c>
      <c r="T109" s="182"/>
      <c r="U109" s="182"/>
      <c r="V109" s="182"/>
      <c r="W109" s="182"/>
      <c r="X109" s="182"/>
      <c r="Y109" s="182"/>
      <c r="AB109" s="175" t="str">
        <f t="shared" si="37"/>
        <v>Robin Gosens</v>
      </c>
    </row>
    <row r="110" spans="1:28" ht="10.5" customHeight="1" x14ac:dyDescent="0.2">
      <c r="A110" s="198">
        <v>18</v>
      </c>
      <c r="B110" s="199" t="s">
        <v>402</v>
      </c>
      <c r="C110" s="185" t="s">
        <v>1</v>
      </c>
      <c r="D110" s="186" t="s">
        <v>59</v>
      </c>
      <c r="E110" s="186" t="s">
        <v>59</v>
      </c>
      <c r="F110" s="187" t="s">
        <v>59</v>
      </c>
      <c r="G110" s="187" t="s">
        <v>59</v>
      </c>
      <c r="H110" s="187"/>
      <c r="I110" s="18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si="37"/>
        <v>Josip Juranovic (A)</v>
      </c>
    </row>
    <row r="111" spans="1:28" ht="10.5" customHeight="1" x14ac:dyDescent="0.2">
      <c r="A111" s="198">
        <v>26</v>
      </c>
      <c r="B111" s="199" t="s">
        <v>173</v>
      </c>
      <c r="C111" s="185" t="s">
        <v>1</v>
      </c>
      <c r="D111" s="186" t="s">
        <v>59</v>
      </c>
      <c r="E111" s="186" t="s">
        <v>59</v>
      </c>
      <c r="F111" s="187" t="s">
        <v>59</v>
      </c>
      <c r="G111" s="187" t="s">
        <v>59</v>
      </c>
      <c r="H111" s="187"/>
      <c r="I111" s="18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ref="AB111:AB113" si="38">B111</f>
        <v>Jerome Roussillon (A)</v>
      </c>
    </row>
    <row r="112" spans="1:28" ht="10.5" customHeight="1" x14ac:dyDescent="0.2">
      <c r="A112" s="198">
        <v>28</v>
      </c>
      <c r="B112" s="199" t="s">
        <v>209</v>
      </c>
      <c r="C112" s="185" t="s">
        <v>1</v>
      </c>
      <c r="D112" s="186" t="s">
        <v>59</v>
      </c>
      <c r="E112" s="186" t="s">
        <v>59</v>
      </c>
      <c r="F112" s="187" t="s">
        <v>59</v>
      </c>
      <c r="G112" s="187" t="s">
        <v>59</v>
      </c>
      <c r="H112" s="187"/>
      <c r="I112" s="186"/>
      <c r="J112" s="181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si="38"/>
        <v>Christopher Trimmel (A)</v>
      </c>
    </row>
    <row r="113" spans="1:28" ht="10.5" customHeight="1" x14ac:dyDescent="0.2">
      <c r="A113" s="198">
        <v>31</v>
      </c>
      <c r="B113" s="199" t="s">
        <v>99</v>
      </c>
      <c r="C113" s="185" t="s">
        <v>1</v>
      </c>
      <c r="D113" s="186" t="s">
        <v>59</v>
      </c>
      <c r="E113" s="186" t="s">
        <v>59</v>
      </c>
      <c r="F113" s="187" t="s">
        <v>59</v>
      </c>
      <c r="G113" s="187" t="s">
        <v>59</v>
      </c>
      <c r="H113" s="187"/>
      <c r="I113" s="186"/>
      <c r="J113" s="181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si="38"/>
        <v>Robin Knoche</v>
      </c>
    </row>
    <row r="114" spans="1:28" ht="10.5" customHeight="1" x14ac:dyDescent="0.2">
      <c r="A114" s="198">
        <v>41</v>
      </c>
      <c r="B114" s="199" t="s">
        <v>638</v>
      </c>
      <c r="C114" s="185" t="s">
        <v>1</v>
      </c>
      <c r="D114" s="186" t="s">
        <v>59</v>
      </c>
      <c r="E114" s="186" t="s">
        <v>59</v>
      </c>
      <c r="F114" s="187" t="s">
        <v>59</v>
      </c>
      <c r="G114" s="187" t="s">
        <v>59</v>
      </c>
      <c r="H114" s="187"/>
      <c r="I114" s="186"/>
      <c r="J114" s="181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ref="AB114" si="39">B114</f>
        <v>Oluwaseun Ogdemudia</v>
      </c>
    </row>
    <row r="115" spans="1:28" ht="10.5" customHeight="1" x14ac:dyDescent="0.2">
      <c r="A115" s="200">
        <v>7</v>
      </c>
      <c r="B115" s="190" t="s">
        <v>422</v>
      </c>
      <c r="C115" s="190" t="s">
        <v>2</v>
      </c>
      <c r="D115" s="205" t="s">
        <v>59</v>
      </c>
      <c r="E115" s="205" t="s">
        <v>59</v>
      </c>
      <c r="F115" s="206" t="s">
        <v>59</v>
      </c>
      <c r="G115" s="206" t="s">
        <v>59</v>
      </c>
      <c r="H115" s="206"/>
      <c r="I115" s="205"/>
      <c r="J115" s="207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ref="AB115" si="40">B115</f>
        <v>Brendon Aaronson (A)</v>
      </c>
    </row>
    <row r="116" spans="1:28" ht="10.5" customHeight="1" x14ac:dyDescent="0.2">
      <c r="A116" s="200">
        <v>8</v>
      </c>
      <c r="B116" s="190" t="s">
        <v>140</v>
      </c>
      <c r="C116" s="190" t="s">
        <v>2</v>
      </c>
      <c r="D116" s="205" t="s">
        <v>59</v>
      </c>
      <c r="E116" s="205" t="s">
        <v>59</v>
      </c>
      <c r="F116" s="206" t="s">
        <v>59</v>
      </c>
      <c r="G116" s="206" t="s">
        <v>59</v>
      </c>
      <c r="H116" s="206"/>
      <c r="I116" s="205"/>
      <c r="J116" s="207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B116" s="175" t="str">
        <f t="shared" ref="AB116:AB120" si="41">B116</f>
        <v>Rani Khedira</v>
      </c>
    </row>
    <row r="117" spans="1:28" ht="10.5" customHeight="1" x14ac:dyDescent="0.2">
      <c r="A117" s="200">
        <v>13</v>
      </c>
      <c r="B117" s="190" t="s">
        <v>577</v>
      </c>
      <c r="C117" s="190" t="s">
        <v>2</v>
      </c>
      <c r="D117" s="205" t="s">
        <v>59</v>
      </c>
      <c r="E117" s="205" t="s">
        <v>59</v>
      </c>
      <c r="F117" s="206" t="s">
        <v>59</v>
      </c>
      <c r="G117" s="206" t="s">
        <v>59</v>
      </c>
      <c r="H117" s="206"/>
      <c r="I117" s="205"/>
      <c r="J117" s="207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si="41"/>
        <v>András Schäfer (A)</v>
      </c>
    </row>
    <row r="118" spans="1:28" ht="10.5" customHeight="1" x14ac:dyDescent="0.2">
      <c r="A118" s="200">
        <v>19</v>
      </c>
      <c r="B118" s="190" t="s">
        <v>142</v>
      </c>
      <c r="C118" s="190" t="s">
        <v>2</v>
      </c>
      <c r="D118" s="205" t="s">
        <v>59</v>
      </c>
      <c r="E118" s="205" t="s">
        <v>59</v>
      </c>
      <c r="F118" s="206" t="s">
        <v>59</v>
      </c>
      <c r="G118" s="206" t="s">
        <v>59</v>
      </c>
      <c r="H118" s="206"/>
      <c r="I118" s="205"/>
      <c r="J118" s="207"/>
      <c r="K118" s="182"/>
      <c r="L118" s="182">
        <v>5</v>
      </c>
      <c r="M118" s="182"/>
      <c r="N118" s="182"/>
      <c r="O118" s="182"/>
      <c r="P118" s="182">
        <v>7</v>
      </c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si="41"/>
        <v>Janik Haberer</v>
      </c>
    </row>
    <row r="119" spans="1:28" ht="10.5" customHeight="1" x14ac:dyDescent="0.2">
      <c r="A119" s="200">
        <v>20</v>
      </c>
      <c r="B119" s="190" t="s">
        <v>394</v>
      </c>
      <c r="C119" s="190" t="s">
        <v>2</v>
      </c>
      <c r="D119" s="205" t="s">
        <v>59</v>
      </c>
      <c r="E119" s="205" t="s">
        <v>59</v>
      </c>
      <c r="F119" s="206" t="s">
        <v>59</v>
      </c>
      <c r="G119" s="206" t="s">
        <v>59</v>
      </c>
      <c r="H119" s="206"/>
      <c r="I119" s="205"/>
      <c r="J119" s="207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si="41"/>
        <v>Aissa Laidouni (A)</v>
      </c>
    </row>
    <row r="120" spans="1:28" ht="10.5" customHeight="1" x14ac:dyDescent="0.2">
      <c r="A120" s="200">
        <v>29</v>
      </c>
      <c r="B120" s="190" t="s">
        <v>236</v>
      </c>
      <c r="C120" s="190" t="s">
        <v>2</v>
      </c>
      <c r="D120" s="205" t="s">
        <v>59</v>
      </c>
      <c r="E120" s="205" t="s">
        <v>59</v>
      </c>
      <c r="F120" s="206" t="s">
        <v>59</v>
      </c>
      <c r="G120" s="206" t="s">
        <v>59</v>
      </c>
      <c r="H120" s="206"/>
      <c r="I120" s="205"/>
      <c r="J120" s="207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 t="shared" si="41"/>
        <v>Lucas Tousart (A)</v>
      </c>
    </row>
    <row r="121" spans="1:28" ht="10.5" customHeight="1" x14ac:dyDescent="0.2">
      <c r="A121" s="200">
        <v>33</v>
      </c>
      <c r="B121" s="190" t="s">
        <v>578</v>
      </c>
      <c r="C121" s="190" t="s">
        <v>2</v>
      </c>
      <c r="D121" s="205" t="s">
        <v>59</v>
      </c>
      <c r="E121" s="205" t="s">
        <v>59</v>
      </c>
      <c r="F121" s="206" t="s">
        <v>59</v>
      </c>
      <c r="G121" s="206" t="s">
        <v>59</v>
      </c>
      <c r="H121" s="206"/>
      <c r="I121" s="205"/>
      <c r="J121" s="207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" si="42">B121</f>
        <v>Alex Král (A)</v>
      </c>
    </row>
    <row r="122" spans="1:28" ht="10.5" customHeight="1" x14ac:dyDescent="0.2">
      <c r="A122" s="201">
        <v>9</v>
      </c>
      <c r="B122" s="195" t="s">
        <v>423</v>
      </c>
      <c r="C122" s="195" t="s">
        <v>3</v>
      </c>
      <c r="D122" s="196" t="s">
        <v>59</v>
      </c>
      <c r="E122" s="196" t="s">
        <v>59</v>
      </c>
      <c r="F122" s="196" t="s">
        <v>59</v>
      </c>
      <c r="G122" s="196" t="s">
        <v>59</v>
      </c>
      <c r="H122" s="197"/>
      <c r="I122" s="19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3" si="43">B122</f>
        <v>Mikkel Kaufmann (A)</v>
      </c>
    </row>
    <row r="123" spans="1:28" ht="10.5" customHeight="1" x14ac:dyDescent="0.2">
      <c r="A123" s="201">
        <v>10</v>
      </c>
      <c r="B123" s="195" t="s">
        <v>564</v>
      </c>
      <c r="C123" s="195" t="s">
        <v>3</v>
      </c>
      <c r="D123" s="196" t="s">
        <v>59</v>
      </c>
      <c r="E123" s="196" t="s">
        <v>59</v>
      </c>
      <c r="F123" s="196" t="s">
        <v>59</v>
      </c>
      <c r="G123" s="196" t="s">
        <v>59</v>
      </c>
      <c r="H123" s="197"/>
      <c r="I123" s="19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3"/>
        <v>Kevin Volland</v>
      </c>
    </row>
    <row r="124" spans="1:28" ht="10.5" customHeight="1" x14ac:dyDescent="0.2">
      <c r="A124" s="201">
        <v>11</v>
      </c>
      <c r="B124" s="195" t="s">
        <v>664</v>
      </c>
      <c r="C124" s="195" t="s">
        <v>3</v>
      </c>
      <c r="D124" s="196" t="s">
        <v>59</v>
      </c>
      <c r="E124" s="196" t="s">
        <v>59</v>
      </c>
      <c r="F124" s="196" t="s">
        <v>59</v>
      </c>
      <c r="G124" s="196" t="s">
        <v>59</v>
      </c>
      <c r="H124" s="197"/>
      <c r="I124" s="196"/>
      <c r="J124" s="181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B124" s="175" t="str">
        <f t="shared" ref="AB124" si="44">B124</f>
        <v>Chris Bedia (A)</v>
      </c>
    </row>
    <row r="125" spans="1:28" ht="10.5" customHeight="1" x14ac:dyDescent="0.2">
      <c r="A125" s="201">
        <v>16</v>
      </c>
      <c r="B125" s="195" t="s">
        <v>424</v>
      </c>
      <c r="C125" s="195" t="s">
        <v>3</v>
      </c>
      <c r="D125" s="196" t="s">
        <v>59</v>
      </c>
      <c r="E125" s="196" t="s">
        <v>59</v>
      </c>
      <c r="F125" s="196" t="s">
        <v>59</v>
      </c>
      <c r="G125" s="196" t="s">
        <v>59</v>
      </c>
      <c r="H125" s="197"/>
      <c r="I125" s="196"/>
      <c r="J125" s="181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B125" s="175" t="str">
        <f t="shared" ref="AB125:AB126" si="45">B125</f>
        <v>Benedict Hollerbach</v>
      </c>
    </row>
    <row r="126" spans="1:28" ht="10.5" customHeight="1" x14ac:dyDescent="0.2">
      <c r="A126" s="201">
        <v>17</v>
      </c>
      <c r="B126" s="195" t="s">
        <v>273</v>
      </c>
      <c r="C126" s="195" t="s">
        <v>3</v>
      </c>
      <c r="D126" s="196" t="s">
        <v>59</v>
      </c>
      <c r="E126" s="196" t="s">
        <v>59</v>
      </c>
      <c r="F126" s="196" t="s">
        <v>59</v>
      </c>
      <c r="G126" s="196" t="s">
        <v>59</v>
      </c>
      <c r="H126" s="197"/>
      <c r="I126" s="196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si="45"/>
        <v>Kevin Behrens</v>
      </c>
    </row>
    <row r="127" spans="1:28" ht="15" customHeight="1" thickBot="1" x14ac:dyDescent="0.25">
      <c r="A127" s="219" t="s">
        <v>129</v>
      </c>
      <c r="B127" s="219"/>
      <c r="C127" s="219"/>
      <c r="D127" s="219"/>
      <c r="E127" s="219"/>
      <c r="F127" s="219"/>
      <c r="G127" s="219"/>
      <c r="H127" s="219"/>
      <c r="I127" s="219"/>
      <c r="J127" s="10"/>
      <c r="K127" s="176">
        <v>12</v>
      </c>
      <c r="L127" s="176">
        <v>12</v>
      </c>
      <c r="M127" s="176">
        <v>12</v>
      </c>
      <c r="N127" s="176">
        <v>12</v>
      </c>
      <c r="O127" s="176">
        <v>12</v>
      </c>
      <c r="P127" s="176">
        <v>12</v>
      </c>
      <c r="Q127" s="176">
        <v>12</v>
      </c>
      <c r="R127" s="176">
        <v>12</v>
      </c>
      <c r="S127" s="176">
        <v>12</v>
      </c>
      <c r="T127" s="176">
        <v>12</v>
      </c>
      <c r="U127" s="176">
        <v>12</v>
      </c>
      <c r="V127" s="176">
        <v>12</v>
      </c>
      <c r="W127" s="176">
        <v>12</v>
      </c>
      <c r="X127" s="176">
        <v>12</v>
      </c>
      <c r="Y127" s="176">
        <v>12</v>
      </c>
      <c r="Z127" s="217"/>
      <c r="AB127" s="175" t="str">
        <f>A127</f>
        <v>SC Freiburg</v>
      </c>
    </row>
    <row r="128" spans="1:28" ht="10.5" customHeight="1" x14ac:dyDescent="0.2">
      <c r="A128" s="177">
        <v>1</v>
      </c>
      <c r="B128" s="178" t="s">
        <v>280</v>
      </c>
      <c r="C128" s="178" t="s">
        <v>0</v>
      </c>
      <c r="D128" s="179" t="s">
        <v>59</v>
      </c>
      <c r="E128" s="179" t="s">
        <v>59</v>
      </c>
      <c r="F128" s="180" t="s">
        <v>59</v>
      </c>
      <c r="G128" s="180" t="s">
        <v>59</v>
      </c>
      <c r="H128" s="180"/>
      <c r="I128" s="179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:AB156" si="46">B128</f>
        <v>Noah Atubolu</v>
      </c>
    </row>
    <row r="129" spans="1:28" ht="10.5" customHeight="1" x14ac:dyDescent="0.2">
      <c r="A129" s="177">
        <v>21</v>
      </c>
      <c r="B129" s="178" t="s">
        <v>153</v>
      </c>
      <c r="C129" s="178" t="s">
        <v>0</v>
      </c>
      <c r="D129" s="179" t="s">
        <v>59</v>
      </c>
      <c r="E129" s="179" t="s">
        <v>59</v>
      </c>
      <c r="F129" s="180" t="s">
        <v>59</v>
      </c>
      <c r="G129" s="180" t="s">
        <v>59</v>
      </c>
      <c r="H129" s="180"/>
      <c r="I129" s="179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ref="AB129:AB132" si="47">B129</f>
        <v>Florian Müller</v>
      </c>
    </row>
    <row r="130" spans="1:28" ht="10.5" customHeight="1" x14ac:dyDescent="0.2">
      <c r="A130" s="177">
        <v>31</v>
      </c>
      <c r="B130" s="178" t="s">
        <v>234</v>
      </c>
      <c r="C130" s="178" t="s">
        <v>0</v>
      </c>
      <c r="D130" s="179" t="s">
        <v>59</v>
      </c>
      <c r="E130" s="179" t="s">
        <v>59</v>
      </c>
      <c r="F130" s="180" t="s">
        <v>59</v>
      </c>
      <c r="G130" s="180" t="s">
        <v>59</v>
      </c>
      <c r="H130" s="180"/>
      <c r="I130" s="179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 t="shared" si="47"/>
        <v>Benjamin Uphoff</v>
      </c>
    </row>
    <row r="131" spans="1:28" ht="10.5" customHeight="1" x14ac:dyDescent="0.2">
      <c r="A131" s="177">
        <v>58</v>
      </c>
      <c r="B131" s="178" t="s">
        <v>639</v>
      </c>
      <c r="C131" s="178" t="s">
        <v>0</v>
      </c>
      <c r="D131" s="179" t="s">
        <v>59</v>
      </c>
      <c r="E131" s="179" t="s">
        <v>59</v>
      </c>
      <c r="F131" s="180" t="s">
        <v>59</v>
      </c>
      <c r="G131" s="180" t="s">
        <v>59</v>
      </c>
      <c r="H131" s="180"/>
      <c r="I131" s="179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ref="AB131" si="48">B131</f>
        <v>Niklas Sauter</v>
      </c>
    </row>
    <row r="132" spans="1:28" ht="10.5" customHeight="1" x14ac:dyDescent="0.2">
      <c r="A132" s="177">
        <v>67</v>
      </c>
      <c r="B132" s="178" t="s">
        <v>640</v>
      </c>
      <c r="C132" s="178" t="s">
        <v>0</v>
      </c>
      <c r="D132" s="179" t="s">
        <v>59</v>
      </c>
      <c r="E132" s="179" t="s">
        <v>59</v>
      </c>
      <c r="F132" s="180" t="s">
        <v>59</v>
      </c>
      <c r="G132" s="180" t="s">
        <v>59</v>
      </c>
      <c r="H132" s="180"/>
      <c r="I132" s="179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si="47"/>
        <v>Jaaso Jantunen (A)</v>
      </c>
    </row>
    <row r="133" spans="1:28" ht="10.5" customHeight="1" x14ac:dyDescent="0.2">
      <c r="A133" s="204">
        <v>3</v>
      </c>
      <c r="B133" s="185" t="s">
        <v>161</v>
      </c>
      <c r="C133" s="185" t="s">
        <v>1</v>
      </c>
      <c r="D133" s="186" t="s">
        <v>59</v>
      </c>
      <c r="E133" s="186" t="s">
        <v>59</v>
      </c>
      <c r="F133" s="187" t="s">
        <v>59</v>
      </c>
      <c r="G133" s="187" t="s">
        <v>59</v>
      </c>
      <c r="H133" s="187"/>
      <c r="I133" s="186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>B133</f>
        <v>Philipp Lienhart (A)</v>
      </c>
    </row>
    <row r="134" spans="1:28" ht="10.5" customHeight="1" x14ac:dyDescent="0.2">
      <c r="A134" s="204">
        <v>4</v>
      </c>
      <c r="B134" s="185" t="s">
        <v>387</v>
      </c>
      <c r="C134" s="185" t="s">
        <v>1</v>
      </c>
      <c r="D134" s="186" t="s">
        <v>59</v>
      </c>
      <c r="E134" s="186" t="s">
        <v>59</v>
      </c>
      <c r="F134" s="187" t="s">
        <v>59</v>
      </c>
      <c r="G134" s="187" t="s">
        <v>59</v>
      </c>
      <c r="H134" s="187"/>
      <c r="I134" s="186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ref="AB134:AB139" si="49">B134</f>
        <v>Kenneth Schmidt</v>
      </c>
    </row>
    <row r="135" spans="1:28" ht="10.5" customHeight="1" x14ac:dyDescent="0.2">
      <c r="A135" s="204">
        <v>5</v>
      </c>
      <c r="B135" s="185" t="s">
        <v>152</v>
      </c>
      <c r="C135" s="185" t="s">
        <v>1</v>
      </c>
      <c r="D135" s="186" t="s">
        <v>59</v>
      </c>
      <c r="E135" s="186" t="s">
        <v>59</v>
      </c>
      <c r="F135" s="187" t="s">
        <v>59</v>
      </c>
      <c r="G135" s="187" t="s">
        <v>59</v>
      </c>
      <c r="H135" s="187"/>
      <c r="I135" s="186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ref="AB135:AB138" si="50">B135</f>
        <v>Manuel Gulde</v>
      </c>
    </row>
    <row r="136" spans="1:28" ht="10.5" customHeight="1" x14ac:dyDescent="0.2">
      <c r="A136" s="204">
        <v>6</v>
      </c>
      <c r="B136" s="185" t="s">
        <v>465</v>
      </c>
      <c r="C136" s="185" t="s">
        <v>1</v>
      </c>
      <c r="D136" s="186" t="s">
        <v>59</v>
      </c>
      <c r="E136" s="186" t="s">
        <v>59</v>
      </c>
      <c r="F136" s="187" t="s">
        <v>59</v>
      </c>
      <c r="G136" s="187" t="s">
        <v>59</v>
      </c>
      <c r="H136" s="187"/>
      <c r="I136" s="186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ref="AB136" si="51">B136</f>
        <v>Attila Szalai (A)</v>
      </c>
    </row>
    <row r="137" spans="1:28" ht="10.5" customHeight="1" x14ac:dyDescent="0.2">
      <c r="A137" s="204">
        <v>17</v>
      </c>
      <c r="B137" s="185" t="s">
        <v>146</v>
      </c>
      <c r="C137" s="185" t="s">
        <v>1</v>
      </c>
      <c r="D137" s="186" t="s">
        <v>59</v>
      </c>
      <c r="E137" s="186" t="s">
        <v>59</v>
      </c>
      <c r="F137" s="187" t="s">
        <v>59</v>
      </c>
      <c r="G137" s="187" t="s">
        <v>59</v>
      </c>
      <c r="H137" s="187"/>
      <c r="I137" s="186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si="50"/>
        <v>Lukas Kübler</v>
      </c>
    </row>
    <row r="138" spans="1:28" ht="10.5" customHeight="1" x14ac:dyDescent="0.2">
      <c r="A138" s="204">
        <v>25</v>
      </c>
      <c r="B138" s="185" t="s">
        <v>260</v>
      </c>
      <c r="C138" s="185" t="s">
        <v>1</v>
      </c>
      <c r="D138" s="186" t="s">
        <v>59</v>
      </c>
      <c r="E138" s="186" t="s">
        <v>59</v>
      </c>
      <c r="F138" s="187" t="s">
        <v>59</v>
      </c>
      <c r="G138" s="187" t="s">
        <v>59</v>
      </c>
      <c r="H138" s="187"/>
      <c r="I138" s="186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si="50"/>
        <v>Kiliann Sildillia (A)</v>
      </c>
    </row>
    <row r="139" spans="1:28" ht="10.5" customHeight="1" x14ac:dyDescent="0.2">
      <c r="A139" s="204">
        <v>28</v>
      </c>
      <c r="B139" s="185" t="s">
        <v>109</v>
      </c>
      <c r="C139" s="185" t="s">
        <v>1</v>
      </c>
      <c r="D139" s="186" t="s">
        <v>59</v>
      </c>
      <c r="E139" s="186" t="s">
        <v>59</v>
      </c>
      <c r="F139" s="187" t="s">
        <v>59</v>
      </c>
      <c r="G139" s="187" t="s">
        <v>59</v>
      </c>
      <c r="H139" s="187"/>
      <c r="I139" s="186"/>
      <c r="J139" s="181"/>
      <c r="K139" s="182">
        <v>4</v>
      </c>
      <c r="L139" s="182">
        <v>2</v>
      </c>
      <c r="M139" s="182">
        <v>4</v>
      </c>
      <c r="N139" s="182"/>
      <c r="O139" s="182"/>
      <c r="P139" s="182"/>
      <c r="Q139" s="182"/>
      <c r="R139" s="182"/>
      <c r="S139" s="182">
        <v>4</v>
      </c>
      <c r="T139" s="182"/>
      <c r="U139" s="182"/>
      <c r="V139" s="182"/>
      <c r="W139" s="182"/>
      <c r="X139" s="182"/>
      <c r="Y139" s="182"/>
      <c r="AB139" s="175" t="str">
        <f t="shared" si="49"/>
        <v>Matthias Ginter</v>
      </c>
    </row>
    <row r="140" spans="1:28" ht="10.5" customHeight="1" x14ac:dyDescent="0.2">
      <c r="A140" s="204">
        <v>30</v>
      </c>
      <c r="B140" s="185" t="s">
        <v>151</v>
      </c>
      <c r="C140" s="185" t="s">
        <v>1</v>
      </c>
      <c r="D140" s="186" t="s">
        <v>59</v>
      </c>
      <c r="E140" s="186" t="s">
        <v>59</v>
      </c>
      <c r="F140" s="187" t="s">
        <v>59</v>
      </c>
      <c r="G140" s="187" t="s">
        <v>59</v>
      </c>
      <c r="H140" s="187"/>
      <c r="I140" s="186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ref="AB140:AB142" si="52">B140</f>
        <v>Christian Günter</v>
      </c>
    </row>
    <row r="141" spans="1:28" ht="10.5" customHeight="1" x14ac:dyDescent="0.2">
      <c r="A141" s="204">
        <v>33</v>
      </c>
      <c r="B141" s="185" t="s">
        <v>425</v>
      </c>
      <c r="C141" s="185" t="s">
        <v>1</v>
      </c>
      <c r="D141" s="186" t="s">
        <v>59</v>
      </c>
      <c r="E141" s="186" t="s">
        <v>59</v>
      </c>
      <c r="F141" s="187" t="s">
        <v>59</v>
      </c>
      <c r="G141" s="187" t="s">
        <v>59</v>
      </c>
      <c r="H141" s="187"/>
      <c r="I141" s="186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si="52"/>
        <v>Jordy Makengo (A)</v>
      </c>
    </row>
    <row r="142" spans="1:28" ht="10.5" customHeight="1" x14ac:dyDescent="0.2">
      <c r="A142" s="204">
        <v>37</v>
      </c>
      <c r="B142" s="185" t="s">
        <v>426</v>
      </c>
      <c r="C142" s="185" t="s">
        <v>1</v>
      </c>
      <c r="D142" s="186" t="s">
        <v>59</v>
      </c>
      <c r="E142" s="186" t="s">
        <v>59</v>
      </c>
      <c r="F142" s="187" t="s">
        <v>59</v>
      </c>
      <c r="G142" s="187" t="s">
        <v>59</v>
      </c>
      <c r="H142" s="187"/>
      <c r="I142" s="186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52"/>
        <v>Max Rosenfelder</v>
      </c>
    </row>
    <row r="143" spans="1:28" ht="10.5" customHeight="1" x14ac:dyDescent="0.2">
      <c r="A143" s="200">
        <v>7</v>
      </c>
      <c r="B143" s="190" t="s">
        <v>281</v>
      </c>
      <c r="C143" s="190" t="s">
        <v>2</v>
      </c>
      <c r="D143" s="191" t="s">
        <v>59</v>
      </c>
      <c r="E143" s="191" t="s">
        <v>59</v>
      </c>
      <c r="F143" s="192" t="s">
        <v>59</v>
      </c>
      <c r="G143" s="192" t="s">
        <v>59</v>
      </c>
      <c r="H143" s="192"/>
      <c r="I143" s="191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ref="AB143" si="53">B143</f>
        <v>Noah Weisshaupt</v>
      </c>
    </row>
    <row r="144" spans="1:28" ht="10.5" customHeight="1" x14ac:dyDescent="0.2">
      <c r="A144" s="200">
        <v>8</v>
      </c>
      <c r="B144" s="190" t="s">
        <v>309</v>
      </c>
      <c r="C144" s="190" t="s">
        <v>2</v>
      </c>
      <c r="D144" s="191" t="s">
        <v>59</v>
      </c>
      <c r="E144" s="191" t="s">
        <v>59</v>
      </c>
      <c r="F144" s="192" t="s">
        <v>59</v>
      </c>
      <c r="G144" s="192" t="s">
        <v>59</v>
      </c>
      <c r="H144" s="192"/>
      <c r="I144" s="191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ref="AB144:AB155" si="54">B144</f>
        <v>Maximilian Eggestein</v>
      </c>
    </row>
    <row r="145" spans="1:28" ht="10.5" customHeight="1" x14ac:dyDescent="0.2">
      <c r="A145" s="200">
        <v>11</v>
      </c>
      <c r="B145" s="190" t="s">
        <v>338</v>
      </c>
      <c r="C145" s="190" t="s">
        <v>2</v>
      </c>
      <c r="D145" s="191" t="s">
        <v>59</v>
      </c>
      <c r="E145" s="191" t="s">
        <v>59</v>
      </c>
      <c r="F145" s="192" t="s">
        <v>59</v>
      </c>
      <c r="G145" s="192" t="s">
        <v>59</v>
      </c>
      <c r="H145" s="192"/>
      <c r="I145" s="191"/>
      <c r="J145" s="181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AB145" s="175" t="str">
        <f t="shared" si="54"/>
        <v>Daniel-Kofi Kyereh</v>
      </c>
    </row>
    <row r="146" spans="1:28" ht="10.5" customHeight="1" x14ac:dyDescent="0.2">
      <c r="A146" s="200">
        <v>14</v>
      </c>
      <c r="B146" s="190" t="s">
        <v>223</v>
      </c>
      <c r="C146" s="190" t="s">
        <v>2</v>
      </c>
      <c r="D146" s="191" t="s">
        <v>59</v>
      </c>
      <c r="E146" s="191" t="s">
        <v>59</v>
      </c>
      <c r="F146" s="192" t="s">
        <v>59</v>
      </c>
      <c r="G146" s="192" t="s">
        <v>59</v>
      </c>
      <c r="H146" s="192"/>
      <c r="I146" s="191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AB146" s="175" t="str">
        <f t="shared" si="54"/>
        <v>Yannik Keitel</v>
      </c>
    </row>
    <row r="147" spans="1:28" ht="10.5" customHeight="1" x14ac:dyDescent="0.2">
      <c r="A147" s="200">
        <v>22</v>
      </c>
      <c r="B147" s="190" t="s">
        <v>198</v>
      </c>
      <c r="C147" s="190" t="s">
        <v>2</v>
      </c>
      <c r="D147" s="191" t="s">
        <v>59</v>
      </c>
      <c r="E147" s="191" t="s">
        <v>59</v>
      </c>
      <c r="F147" s="192" t="s">
        <v>59</v>
      </c>
      <c r="G147" s="192" t="s">
        <v>59</v>
      </c>
      <c r="H147" s="192"/>
      <c r="I147" s="191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B147" s="175" t="str">
        <f t="shared" si="54"/>
        <v>Roland Sallai (A)</v>
      </c>
    </row>
    <row r="148" spans="1:28" ht="10.5" customHeight="1" x14ac:dyDescent="0.2">
      <c r="A148" s="200">
        <v>23</v>
      </c>
      <c r="B148" s="190" t="s">
        <v>667</v>
      </c>
      <c r="C148" s="190" t="s">
        <v>2</v>
      </c>
      <c r="D148" s="191" t="s">
        <v>59</v>
      </c>
      <c r="E148" s="191" t="s">
        <v>59</v>
      </c>
      <c r="F148" s="192" t="s">
        <v>59</v>
      </c>
      <c r="G148" s="192" t="s">
        <v>59</v>
      </c>
      <c r="H148" s="192"/>
      <c r="I148" s="191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B148" s="175" t="str">
        <f t="shared" ref="AB148" si="55">B148</f>
        <v>Florent Muslija</v>
      </c>
    </row>
    <row r="149" spans="1:28" ht="10.5" customHeight="1" x14ac:dyDescent="0.2">
      <c r="A149" s="200">
        <v>27</v>
      </c>
      <c r="B149" s="190" t="s">
        <v>141</v>
      </c>
      <c r="C149" s="190" t="s">
        <v>2</v>
      </c>
      <c r="D149" s="191" t="s">
        <v>59</v>
      </c>
      <c r="E149" s="191" t="s">
        <v>59</v>
      </c>
      <c r="F149" s="192" t="s">
        <v>59</v>
      </c>
      <c r="G149" s="192" t="s">
        <v>59</v>
      </c>
      <c r="H149" s="192"/>
      <c r="I149" s="191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B149" s="175" t="str">
        <f t="shared" si="54"/>
        <v>Nicolas Höfler</v>
      </c>
    </row>
    <row r="150" spans="1:28" ht="10.5" customHeight="1" x14ac:dyDescent="0.2">
      <c r="A150" s="200">
        <v>32</v>
      </c>
      <c r="B150" s="190" t="s">
        <v>397</v>
      </c>
      <c r="C150" s="190" t="s">
        <v>2</v>
      </c>
      <c r="D150" s="191" t="s">
        <v>59</v>
      </c>
      <c r="E150" s="191" t="s">
        <v>59</v>
      </c>
      <c r="F150" s="192" t="s">
        <v>59</v>
      </c>
      <c r="G150" s="192" t="s">
        <v>59</v>
      </c>
      <c r="H150" s="192"/>
      <c r="I150" s="191"/>
      <c r="J150" s="181"/>
      <c r="K150" s="182"/>
      <c r="L150" s="182"/>
      <c r="M150" s="182">
        <v>7</v>
      </c>
      <c r="N150" s="182">
        <v>8</v>
      </c>
      <c r="O150" s="182"/>
      <c r="P150" s="182"/>
      <c r="Q150" s="182">
        <v>7</v>
      </c>
      <c r="R150" s="182"/>
      <c r="S150" s="182"/>
      <c r="T150" s="182"/>
      <c r="U150" s="182"/>
      <c r="V150" s="182"/>
      <c r="W150" s="182"/>
      <c r="X150" s="182"/>
      <c r="Y150" s="182"/>
      <c r="AB150" s="175" t="str">
        <f t="shared" si="54"/>
        <v>Vincenzo Grifo</v>
      </c>
    </row>
    <row r="151" spans="1:28" ht="10.5" customHeight="1" x14ac:dyDescent="0.2">
      <c r="A151" s="200">
        <v>34</v>
      </c>
      <c r="B151" s="190" t="s">
        <v>376</v>
      </c>
      <c r="C151" s="190" t="s">
        <v>2</v>
      </c>
      <c r="D151" s="191" t="s">
        <v>59</v>
      </c>
      <c r="E151" s="191" t="s">
        <v>59</v>
      </c>
      <c r="F151" s="192" t="s">
        <v>59</v>
      </c>
      <c r="G151" s="192" t="s">
        <v>59</v>
      </c>
      <c r="H151" s="192"/>
      <c r="I151" s="191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B151" s="175" t="str">
        <f t="shared" si="54"/>
        <v>Merlin Röhl</v>
      </c>
    </row>
    <row r="152" spans="1:28" ht="10.5" customHeight="1" x14ac:dyDescent="0.2">
      <c r="A152" s="200">
        <v>35</v>
      </c>
      <c r="B152" s="190" t="s">
        <v>626</v>
      </c>
      <c r="C152" s="190" t="s">
        <v>2</v>
      </c>
      <c r="D152" s="191" t="s">
        <v>59</v>
      </c>
      <c r="E152" s="191" t="s">
        <v>59</v>
      </c>
      <c r="F152" s="192" t="s">
        <v>59</v>
      </c>
      <c r="G152" s="192" t="s">
        <v>59</v>
      </c>
      <c r="H152" s="192"/>
      <c r="I152" s="191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B152" s="175" t="str">
        <f t="shared" si="54"/>
        <v>Fabian Rüdlin</v>
      </c>
    </row>
    <row r="153" spans="1:28" ht="10.5" customHeight="1" x14ac:dyDescent="0.2">
      <c r="A153" s="200">
        <v>42</v>
      </c>
      <c r="B153" s="190" t="s">
        <v>579</v>
      </c>
      <c r="C153" s="190" t="s">
        <v>2</v>
      </c>
      <c r="D153" s="191" t="s">
        <v>59</v>
      </c>
      <c r="E153" s="191" t="s">
        <v>59</v>
      </c>
      <c r="F153" s="192" t="s">
        <v>59</v>
      </c>
      <c r="G153" s="192" t="s">
        <v>59</v>
      </c>
      <c r="H153" s="192"/>
      <c r="I153" s="191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AB153" s="175" t="str">
        <f t="shared" ref="AB153:AB154" si="56">B153</f>
        <v>Ritsu Dōan (A)</v>
      </c>
    </row>
    <row r="154" spans="1:28" ht="10.5" customHeight="1" x14ac:dyDescent="0.2">
      <c r="A154" s="200">
        <v>43</v>
      </c>
      <c r="B154" s="190" t="s">
        <v>641</v>
      </c>
      <c r="C154" s="190" t="s">
        <v>2</v>
      </c>
      <c r="D154" s="191" t="s">
        <v>59</v>
      </c>
      <c r="E154" s="191" t="s">
        <v>59</v>
      </c>
      <c r="F154" s="192" t="s">
        <v>59</v>
      </c>
      <c r="G154" s="192" t="s">
        <v>59</v>
      </c>
      <c r="H154" s="192"/>
      <c r="I154" s="191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AB154" s="175" t="str">
        <f t="shared" si="56"/>
        <v>Ryan Johansson (A)</v>
      </c>
    </row>
    <row r="155" spans="1:28" ht="10.5" customHeight="1" x14ac:dyDescent="0.2">
      <c r="A155" s="200">
        <v>54</v>
      </c>
      <c r="B155" s="190" t="s">
        <v>557</v>
      </c>
      <c r="C155" s="190" t="s">
        <v>2</v>
      </c>
      <c r="D155" s="191" t="s">
        <v>59</v>
      </c>
      <c r="E155" s="191" t="s">
        <v>59</v>
      </c>
      <c r="F155" s="192" t="s">
        <v>59</v>
      </c>
      <c r="G155" s="192" t="s">
        <v>59</v>
      </c>
      <c r="H155" s="192"/>
      <c r="I155" s="191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AB155" s="175" t="str">
        <f t="shared" si="54"/>
        <v>Mika Baur</v>
      </c>
    </row>
    <row r="156" spans="1:28" ht="10.5" customHeight="1" x14ac:dyDescent="0.2">
      <c r="A156" s="201">
        <v>9</v>
      </c>
      <c r="B156" s="195" t="s">
        <v>170</v>
      </c>
      <c r="C156" s="195" t="s">
        <v>3</v>
      </c>
      <c r="D156" s="196" t="s">
        <v>59</v>
      </c>
      <c r="E156" s="196" t="s">
        <v>59</v>
      </c>
      <c r="F156" s="197" t="s">
        <v>59</v>
      </c>
      <c r="G156" s="197" t="s">
        <v>59</v>
      </c>
      <c r="H156" s="197"/>
      <c r="I156" s="19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AB156" s="175" t="str">
        <f t="shared" si="46"/>
        <v>Lucas Höler</v>
      </c>
    </row>
    <row r="157" spans="1:28" ht="10.5" customHeight="1" x14ac:dyDescent="0.2">
      <c r="A157" s="201">
        <v>20</v>
      </c>
      <c r="B157" s="195" t="s">
        <v>427</v>
      </c>
      <c r="C157" s="195" t="s">
        <v>3</v>
      </c>
      <c r="D157" s="196" t="s">
        <v>59</v>
      </c>
      <c r="E157" s="196" t="s">
        <v>59</v>
      </c>
      <c r="F157" s="197" t="s">
        <v>59</v>
      </c>
      <c r="G157" s="197" t="s">
        <v>59</v>
      </c>
      <c r="H157" s="197"/>
      <c r="I157" s="196"/>
      <c r="J157" s="181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AB157" s="175" t="str">
        <f t="shared" ref="AB157:AB160" si="57">B157</f>
        <v>Junior Adamu (A)</v>
      </c>
    </row>
    <row r="158" spans="1:28" ht="10.5" customHeight="1" x14ac:dyDescent="0.2">
      <c r="A158" s="201">
        <v>26</v>
      </c>
      <c r="B158" s="195" t="s">
        <v>253</v>
      </c>
      <c r="C158" s="195" t="s">
        <v>3</v>
      </c>
      <c r="D158" s="196" t="s">
        <v>59</v>
      </c>
      <c r="E158" s="196" t="s">
        <v>59</v>
      </c>
      <c r="F158" s="197" t="s">
        <v>59</v>
      </c>
      <c r="G158" s="197" t="s">
        <v>59</v>
      </c>
      <c r="H158" s="197"/>
      <c r="I158" s="196"/>
      <c r="J158" s="181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AB158" s="175" t="str">
        <f t="shared" si="57"/>
        <v>Maximilian Philipp</v>
      </c>
    </row>
    <row r="159" spans="1:28" ht="10.5" customHeight="1" x14ac:dyDescent="0.2">
      <c r="A159" s="201">
        <v>38</v>
      </c>
      <c r="B159" s="195" t="s">
        <v>238</v>
      </c>
      <c r="C159" s="195" t="s">
        <v>3</v>
      </c>
      <c r="D159" s="196" t="s">
        <v>59</v>
      </c>
      <c r="E159" s="196" t="s">
        <v>59</v>
      </c>
      <c r="F159" s="197" t="s">
        <v>59</v>
      </c>
      <c r="G159" s="197" t="s">
        <v>59</v>
      </c>
      <c r="H159" s="197"/>
      <c r="I159" s="196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AB159" s="175" t="str">
        <f t="shared" ref="AB159" si="58">B159</f>
        <v>Michael Gregoritsch (A)</v>
      </c>
    </row>
    <row r="160" spans="1:28" ht="10.5" customHeight="1" x14ac:dyDescent="0.2">
      <c r="A160" s="201">
        <v>44</v>
      </c>
      <c r="B160" s="195" t="s">
        <v>558</v>
      </c>
      <c r="C160" s="195" t="s">
        <v>3</v>
      </c>
      <c r="D160" s="196" t="s">
        <v>59</v>
      </c>
      <c r="E160" s="196" t="s">
        <v>59</v>
      </c>
      <c r="F160" s="197" t="s">
        <v>59</v>
      </c>
      <c r="G160" s="197" t="s">
        <v>59</v>
      </c>
      <c r="H160" s="197"/>
      <c r="I160" s="196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AB160" s="175" t="str">
        <f t="shared" si="57"/>
        <v>Maximilian Breunig</v>
      </c>
    </row>
    <row r="161" spans="1:28" ht="15" customHeight="1" thickBot="1" x14ac:dyDescent="0.25">
      <c r="A161" s="220" t="s">
        <v>30</v>
      </c>
      <c r="B161" s="220"/>
      <c r="C161" s="220"/>
      <c r="D161" s="220"/>
      <c r="E161" s="220"/>
      <c r="F161" s="220"/>
      <c r="G161" s="220"/>
      <c r="H161" s="220"/>
      <c r="I161" s="220"/>
      <c r="J161" s="10"/>
      <c r="K161" s="176">
        <v>12</v>
      </c>
      <c r="L161" s="176">
        <v>12</v>
      </c>
      <c r="M161" s="176">
        <v>12</v>
      </c>
      <c r="N161" s="176">
        <v>12</v>
      </c>
      <c r="O161" s="176">
        <v>12</v>
      </c>
      <c r="P161" s="176">
        <v>12</v>
      </c>
      <c r="Q161" s="176">
        <v>12</v>
      </c>
      <c r="R161" s="176">
        <v>12</v>
      </c>
      <c r="S161" s="176">
        <v>12</v>
      </c>
      <c r="T161" s="176">
        <v>12</v>
      </c>
      <c r="U161" s="176">
        <v>12</v>
      </c>
      <c r="V161" s="176">
        <v>12</v>
      </c>
      <c r="W161" s="176">
        <v>12</v>
      </c>
      <c r="X161" s="176">
        <v>12</v>
      </c>
      <c r="Y161" s="176">
        <v>12</v>
      </c>
      <c r="Z161" s="217"/>
      <c r="AB161" s="175" t="str">
        <f>A161</f>
        <v>Bayer Leverkusen</v>
      </c>
    </row>
    <row r="162" spans="1:28" s="113" customFormat="1" ht="10.5" customHeight="1" x14ac:dyDescent="0.2">
      <c r="A162" s="177">
        <v>1</v>
      </c>
      <c r="B162" s="178" t="s">
        <v>580</v>
      </c>
      <c r="C162" s="178" t="s">
        <v>0</v>
      </c>
      <c r="D162" s="179" t="s">
        <v>59</v>
      </c>
      <c r="E162" s="179" t="s">
        <v>59</v>
      </c>
      <c r="F162" s="180" t="s">
        <v>59</v>
      </c>
      <c r="G162" s="180" t="s">
        <v>59</v>
      </c>
      <c r="H162" s="180"/>
      <c r="I162" s="179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>B162</f>
        <v>Lukáš Hrádecký (A)</v>
      </c>
    </row>
    <row r="163" spans="1:28" s="113" customFormat="1" ht="10.5" customHeight="1" x14ac:dyDescent="0.2">
      <c r="A163" s="177">
        <v>17</v>
      </c>
      <c r="B163" s="178" t="s">
        <v>581</v>
      </c>
      <c r="C163" s="178" t="s">
        <v>0</v>
      </c>
      <c r="D163" s="179" t="s">
        <v>59</v>
      </c>
      <c r="E163" s="179" t="s">
        <v>59</v>
      </c>
      <c r="F163" s="180" t="s">
        <v>59</v>
      </c>
      <c r="G163" s="180" t="s">
        <v>59</v>
      </c>
      <c r="H163" s="180"/>
      <c r="I163" s="179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" si="59">B163</f>
        <v>Matěj Kovář (A)</v>
      </c>
    </row>
    <row r="164" spans="1:28" s="113" customFormat="1" ht="10.5" customHeight="1" x14ac:dyDescent="0.2">
      <c r="A164" s="177">
        <v>36</v>
      </c>
      <c r="B164" s="178" t="s">
        <v>185</v>
      </c>
      <c r="C164" s="178" t="s">
        <v>0</v>
      </c>
      <c r="D164" s="179" t="s">
        <v>59</v>
      </c>
      <c r="E164" s="179" t="s">
        <v>59</v>
      </c>
      <c r="F164" s="180" t="s">
        <v>59</v>
      </c>
      <c r="G164" s="180" t="s">
        <v>59</v>
      </c>
      <c r="H164" s="180"/>
      <c r="I164" s="179"/>
      <c r="J164" s="181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ref="AB164:AB165" si="60">B164</f>
        <v>Niklas Lomb</v>
      </c>
    </row>
    <row r="165" spans="1:28" s="113" customFormat="1" ht="10.5" customHeight="1" x14ac:dyDescent="0.2">
      <c r="A165" s="198">
        <v>2</v>
      </c>
      <c r="B165" s="199" t="s">
        <v>582</v>
      </c>
      <c r="C165" s="185" t="s">
        <v>1</v>
      </c>
      <c r="D165" s="186" t="s">
        <v>59</v>
      </c>
      <c r="E165" s="186" t="s">
        <v>59</v>
      </c>
      <c r="F165" s="187" t="s">
        <v>59</v>
      </c>
      <c r="G165" s="187" t="s">
        <v>59</v>
      </c>
      <c r="H165" s="187"/>
      <c r="I165" s="186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si="60"/>
        <v>Josip Stanišić</v>
      </c>
    </row>
    <row r="166" spans="1:28" s="113" customFormat="1" ht="10.5" customHeight="1" x14ac:dyDescent="0.2">
      <c r="A166" s="198">
        <v>3</v>
      </c>
      <c r="B166" s="199" t="s">
        <v>308</v>
      </c>
      <c r="C166" s="185" t="s">
        <v>1</v>
      </c>
      <c r="D166" s="186" t="s">
        <v>59</v>
      </c>
      <c r="E166" s="186" t="s">
        <v>59</v>
      </c>
      <c r="F166" s="187" t="s">
        <v>59</v>
      </c>
      <c r="G166" s="187" t="s">
        <v>59</v>
      </c>
      <c r="H166" s="187"/>
      <c r="I166" s="186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:AB180" si="61">B166</f>
        <v>Piero Hincapie (A)</v>
      </c>
    </row>
    <row r="167" spans="1:28" s="113" customFormat="1" ht="10.5" customHeight="1" x14ac:dyDescent="0.2">
      <c r="A167" s="198">
        <v>4</v>
      </c>
      <c r="B167" s="199" t="s">
        <v>117</v>
      </c>
      <c r="C167" s="185" t="s">
        <v>1</v>
      </c>
      <c r="D167" s="186" t="s">
        <v>59</v>
      </c>
      <c r="E167" s="186" t="s">
        <v>59</v>
      </c>
      <c r="F167" s="187" t="s">
        <v>59</v>
      </c>
      <c r="G167" s="187" t="s">
        <v>59</v>
      </c>
      <c r="H167" s="187"/>
      <c r="I167" s="186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ref="AB167" si="62">B167</f>
        <v>Jonathan Tah</v>
      </c>
    </row>
    <row r="168" spans="1:28" s="113" customFormat="1" ht="10.5" customHeight="1" x14ac:dyDescent="0.2">
      <c r="A168" s="198">
        <v>6</v>
      </c>
      <c r="B168" s="199" t="s">
        <v>272</v>
      </c>
      <c r="C168" s="185" t="s">
        <v>1</v>
      </c>
      <c r="D168" s="186" t="s">
        <v>59</v>
      </c>
      <c r="E168" s="186" t="s">
        <v>59</v>
      </c>
      <c r="F168" s="187" t="s">
        <v>59</v>
      </c>
      <c r="G168" s="187" t="s">
        <v>59</v>
      </c>
      <c r="H168" s="187"/>
      <c r="I168" s="186"/>
      <c r="J168" s="181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61"/>
        <v>Odilou Kossounou (A)</v>
      </c>
    </row>
    <row r="169" spans="1:28" s="113" customFormat="1" ht="10.5" customHeight="1" x14ac:dyDescent="0.2">
      <c r="A169" s="198">
        <v>12</v>
      </c>
      <c r="B169" s="199" t="s">
        <v>219</v>
      </c>
      <c r="C169" s="185" t="s">
        <v>1</v>
      </c>
      <c r="D169" s="186" t="s">
        <v>59</v>
      </c>
      <c r="E169" s="186" t="s">
        <v>59</v>
      </c>
      <c r="F169" s="187" t="s">
        <v>59</v>
      </c>
      <c r="G169" s="187" t="s">
        <v>59</v>
      </c>
      <c r="H169" s="187"/>
      <c r="I169" s="18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ref="AB169" si="63">B169</f>
        <v>Edmond Tapsoba (A)</v>
      </c>
    </row>
    <row r="170" spans="1:28" s="113" customFormat="1" ht="10.5" customHeight="1" x14ac:dyDescent="0.2">
      <c r="A170" s="198">
        <v>13</v>
      </c>
      <c r="B170" s="199" t="s">
        <v>428</v>
      </c>
      <c r="C170" s="185" t="s">
        <v>1</v>
      </c>
      <c r="D170" s="186" t="s">
        <v>59</v>
      </c>
      <c r="E170" s="186" t="s">
        <v>59</v>
      </c>
      <c r="F170" s="187" t="s">
        <v>59</v>
      </c>
      <c r="G170" s="187" t="s">
        <v>59</v>
      </c>
      <c r="H170" s="187"/>
      <c r="I170" s="18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61"/>
        <v>Arthur (A)</v>
      </c>
    </row>
    <row r="171" spans="1:28" s="113" customFormat="1" ht="10.5" customHeight="1" x14ac:dyDescent="0.2">
      <c r="A171" s="198">
        <v>20</v>
      </c>
      <c r="B171" s="199" t="s">
        <v>666</v>
      </c>
      <c r="C171" s="185" t="s">
        <v>1</v>
      </c>
      <c r="D171" s="186" t="s">
        <v>59</v>
      </c>
      <c r="E171" s="186" t="s">
        <v>59</v>
      </c>
      <c r="F171" s="187" t="s">
        <v>59</v>
      </c>
      <c r="G171" s="187" t="s">
        <v>59</v>
      </c>
      <c r="H171" s="187"/>
      <c r="I171" s="186"/>
      <c r="J171" s="181"/>
      <c r="K171" s="182">
        <v>3</v>
      </c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 t="shared" si="61"/>
        <v>Alejandro Grimaldo (A)</v>
      </c>
    </row>
    <row r="172" spans="1:28" s="113" customFormat="1" ht="10.5" customHeight="1" x14ac:dyDescent="0.2">
      <c r="A172" s="198">
        <v>24</v>
      </c>
      <c r="B172" s="199" t="s">
        <v>258</v>
      </c>
      <c r="C172" s="185" t="s">
        <v>1</v>
      </c>
      <c r="D172" s="186" t="s">
        <v>59</v>
      </c>
      <c r="E172" s="186" t="s">
        <v>59</v>
      </c>
      <c r="F172" s="187" t="s">
        <v>59</v>
      </c>
      <c r="G172" s="187" t="s">
        <v>59</v>
      </c>
      <c r="H172" s="187"/>
      <c r="I172" s="186"/>
      <c r="J172" s="181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72"/>
      <c r="AB172" s="175" t="str">
        <f t="shared" si="61"/>
        <v>Timothy Fosu-Mensah (A)</v>
      </c>
    </row>
    <row r="173" spans="1:28" s="113" customFormat="1" ht="10.5" customHeight="1" x14ac:dyDescent="0.2">
      <c r="A173" s="198">
        <v>30</v>
      </c>
      <c r="B173" s="199" t="s">
        <v>259</v>
      </c>
      <c r="C173" s="185" t="s">
        <v>1</v>
      </c>
      <c r="D173" s="186" t="s">
        <v>59</v>
      </c>
      <c r="E173" s="186" t="s">
        <v>59</v>
      </c>
      <c r="F173" s="187" t="s">
        <v>59</v>
      </c>
      <c r="G173" s="187" t="s">
        <v>59</v>
      </c>
      <c r="H173" s="187"/>
      <c r="I173" s="186"/>
      <c r="J173" s="181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72"/>
      <c r="AB173" s="175" t="str">
        <f t="shared" si="61"/>
        <v>Jeremie Frimpong (A)</v>
      </c>
    </row>
    <row r="174" spans="1:28" s="113" customFormat="1" ht="10.5" customHeight="1" x14ac:dyDescent="0.2">
      <c r="A174" s="198">
        <v>31</v>
      </c>
      <c r="B174" s="199" t="s">
        <v>429</v>
      </c>
      <c r="C174" s="185" t="s">
        <v>1</v>
      </c>
      <c r="D174" s="186" t="s">
        <v>59</v>
      </c>
      <c r="E174" s="186" t="s">
        <v>59</v>
      </c>
      <c r="F174" s="187" t="s">
        <v>59</v>
      </c>
      <c r="G174" s="187" t="s">
        <v>59</v>
      </c>
      <c r="H174" s="187"/>
      <c r="I174" s="186"/>
      <c r="J174" s="181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72"/>
      <c r="AB174" s="175" t="str">
        <f t="shared" ref="AB174" si="64">B174</f>
        <v>Madi Monamay (A)</v>
      </c>
    </row>
    <row r="175" spans="1:28" s="113" customFormat="1" ht="10.5" customHeight="1" x14ac:dyDescent="0.2">
      <c r="A175" s="198">
        <v>48</v>
      </c>
      <c r="B175" s="199" t="s">
        <v>566</v>
      </c>
      <c r="C175" s="185" t="s">
        <v>1</v>
      </c>
      <c r="D175" s="186" t="s">
        <v>59</v>
      </c>
      <c r="E175" s="186" t="s">
        <v>59</v>
      </c>
      <c r="F175" s="187" t="s">
        <v>59</v>
      </c>
      <c r="G175" s="187" t="s">
        <v>59</v>
      </c>
      <c r="H175" s="187"/>
      <c r="I175" s="186"/>
      <c r="J175" s="181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72"/>
      <c r="AB175" s="175" t="str">
        <f t="shared" si="61"/>
        <v>Reno Münz</v>
      </c>
    </row>
    <row r="176" spans="1:28" s="113" customFormat="1" ht="10.5" customHeight="1" x14ac:dyDescent="0.2">
      <c r="A176" s="202">
        <v>7</v>
      </c>
      <c r="B176" s="203" t="s">
        <v>115</v>
      </c>
      <c r="C176" s="203" t="s">
        <v>2</v>
      </c>
      <c r="D176" s="191" t="s">
        <v>59</v>
      </c>
      <c r="E176" s="191" t="s">
        <v>59</v>
      </c>
      <c r="F176" s="192" t="s">
        <v>59</v>
      </c>
      <c r="G176" s="192" t="s">
        <v>59</v>
      </c>
      <c r="H176" s="192"/>
      <c r="I176" s="191"/>
      <c r="J176" s="181"/>
      <c r="K176" s="182"/>
      <c r="L176" s="182">
        <v>7</v>
      </c>
      <c r="M176" s="182">
        <v>6</v>
      </c>
      <c r="N176" s="182"/>
      <c r="O176" s="182"/>
      <c r="P176" s="182">
        <v>6</v>
      </c>
      <c r="Q176" s="182"/>
      <c r="R176" s="182">
        <v>5</v>
      </c>
      <c r="S176" s="182">
        <v>8</v>
      </c>
      <c r="T176" s="182"/>
      <c r="U176" s="182"/>
      <c r="V176" s="182"/>
      <c r="W176" s="182"/>
      <c r="X176" s="182"/>
      <c r="Y176" s="182"/>
      <c r="Z176" s="172"/>
      <c r="AB176" s="175" t="str">
        <f t="shared" ref="AB176" si="65">B176</f>
        <v>Jonas Hofmann</v>
      </c>
    </row>
    <row r="177" spans="1:28" s="113" customFormat="1" ht="10.5" customHeight="1" x14ac:dyDescent="0.2">
      <c r="A177" s="202">
        <v>8</v>
      </c>
      <c r="B177" s="203" t="s">
        <v>212</v>
      </c>
      <c r="C177" s="203" t="s">
        <v>2</v>
      </c>
      <c r="D177" s="191" t="s">
        <v>59</v>
      </c>
      <c r="E177" s="191" t="s">
        <v>59</v>
      </c>
      <c r="F177" s="192" t="s">
        <v>59</v>
      </c>
      <c r="G177" s="192" t="s">
        <v>59</v>
      </c>
      <c r="H177" s="192"/>
      <c r="I177" s="191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72"/>
      <c r="AB177" s="175" t="str">
        <f t="shared" si="61"/>
        <v>Robert Andrich</v>
      </c>
    </row>
    <row r="178" spans="1:28" s="113" customFormat="1" ht="10.5" customHeight="1" x14ac:dyDescent="0.2">
      <c r="A178" s="202">
        <v>10</v>
      </c>
      <c r="B178" s="203" t="s">
        <v>221</v>
      </c>
      <c r="C178" s="203" t="s">
        <v>2</v>
      </c>
      <c r="D178" s="191" t="s">
        <v>59</v>
      </c>
      <c r="E178" s="191" t="s">
        <v>59</v>
      </c>
      <c r="F178" s="192" t="s">
        <v>59</v>
      </c>
      <c r="G178" s="192" t="s">
        <v>59</v>
      </c>
      <c r="H178" s="192"/>
      <c r="I178" s="191"/>
      <c r="J178" s="181"/>
      <c r="K178" s="182">
        <v>7</v>
      </c>
      <c r="L178" s="182">
        <v>6</v>
      </c>
      <c r="M178" s="182"/>
      <c r="N178" s="182">
        <v>7</v>
      </c>
      <c r="O178" s="182">
        <v>5</v>
      </c>
      <c r="P178" s="182">
        <v>5</v>
      </c>
      <c r="Q178" s="182">
        <v>5</v>
      </c>
      <c r="R178" s="182">
        <v>6</v>
      </c>
      <c r="S178" s="182">
        <v>6</v>
      </c>
      <c r="T178" s="182"/>
      <c r="U178" s="182"/>
      <c r="V178" s="182"/>
      <c r="W178" s="182"/>
      <c r="X178" s="182"/>
      <c r="Y178" s="182"/>
      <c r="Z178" s="172"/>
      <c r="AB178" s="175" t="str">
        <f>B178</f>
        <v>Florian Wirtz</v>
      </c>
    </row>
    <row r="179" spans="1:28" s="113" customFormat="1" ht="10.5" customHeight="1" x14ac:dyDescent="0.2">
      <c r="A179" s="202">
        <v>11</v>
      </c>
      <c r="B179" s="203" t="s">
        <v>331</v>
      </c>
      <c r="C179" s="203" t="s">
        <v>2</v>
      </c>
      <c r="D179" s="191" t="s">
        <v>59</v>
      </c>
      <c r="E179" s="191" t="s">
        <v>59</v>
      </c>
      <c r="F179" s="192" t="s">
        <v>59</v>
      </c>
      <c r="G179" s="192" t="s">
        <v>59</v>
      </c>
      <c r="H179" s="192"/>
      <c r="I179" s="191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72"/>
      <c r="AB179" s="175" t="str">
        <f t="shared" ref="AB179" si="66">B179</f>
        <v>Nadiem Amiri</v>
      </c>
    </row>
    <row r="180" spans="1:28" s="113" customFormat="1" ht="10.5" customHeight="1" x14ac:dyDescent="0.2">
      <c r="A180" s="202">
        <v>18</v>
      </c>
      <c r="B180" s="203" t="s">
        <v>390</v>
      </c>
      <c r="C180" s="203" t="s">
        <v>2</v>
      </c>
      <c r="D180" s="191" t="s">
        <v>59</v>
      </c>
      <c r="E180" s="191" t="s">
        <v>59</v>
      </c>
      <c r="F180" s="192" t="s">
        <v>59</v>
      </c>
      <c r="G180" s="192" t="s">
        <v>59</v>
      </c>
      <c r="H180" s="192"/>
      <c r="I180" s="191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72"/>
      <c r="AB180" s="175" t="str">
        <f t="shared" si="61"/>
        <v>Noah Mbamba (A)</v>
      </c>
    </row>
    <row r="181" spans="1:28" s="113" customFormat="1" ht="10.5" customHeight="1" x14ac:dyDescent="0.2">
      <c r="A181" s="202">
        <v>25</v>
      </c>
      <c r="B181" s="203" t="s">
        <v>215</v>
      </c>
      <c r="C181" s="203" t="s">
        <v>2</v>
      </c>
      <c r="D181" s="191" t="s">
        <v>59</v>
      </c>
      <c r="E181" s="191" t="s">
        <v>59</v>
      </c>
      <c r="F181" s="192" t="s">
        <v>59</v>
      </c>
      <c r="G181" s="192" t="s">
        <v>59</v>
      </c>
      <c r="H181" s="192"/>
      <c r="I181" s="191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72"/>
      <c r="AB181" s="175" t="str">
        <f t="shared" ref="AB181" si="67">B181</f>
        <v>Exequiel Palacios (A)</v>
      </c>
    </row>
    <row r="182" spans="1:28" s="113" customFormat="1" ht="10.5" customHeight="1" x14ac:dyDescent="0.2">
      <c r="A182" s="202">
        <v>32</v>
      </c>
      <c r="B182" s="203" t="s">
        <v>430</v>
      </c>
      <c r="C182" s="203" t="s">
        <v>2</v>
      </c>
      <c r="D182" s="191" t="s">
        <v>59</v>
      </c>
      <c r="E182" s="191" t="s">
        <v>59</v>
      </c>
      <c r="F182" s="192" t="s">
        <v>59</v>
      </c>
      <c r="G182" s="192" t="s">
        <v>59</v>
      </c>
      <c r="H182" s="192"/>
      <c r="I182" s="191"/>
      <c r="J182" s="181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72"/>
      <c r="AB182" s="175" t="str">
        <f t="shared" ref="AB182" si="68">B182</f>
        <v>Gustavo Puerta (A)</v>
      </c>
    </row>
    <row r="183" spans="1:28" s="113" customFormat="1" ht="10.5" customHeight="1" x14ac:dyDescent="0.2">
      <c r="A183" s="202">
        <v>34</v>
      </c>
      <c r="B183" s="203" t="s">
        <v>431</v>
      </c>
      <c r="C183" s="203" t="s">
        <v>2</v>
      </c>
      <c r="D183" s="191" t="s">
        <v>59</v>
      </c>
      <c r="E183" s="191" t="s">
        <v>59</v>
      </c>
      <c r="F183" s="192" t="s">
        <v>59</v>
      </c>
      <c r="G183" s="192" t="s">
        <v>59</v>
      </c>
      <c r="H183" s="192"/>
      <c r="I183" s="191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72"/>
      <c r="AB183" s="175" t="str">
        <f t="shared" ref="AB183:AB185" si="69">B183</f>
        <v>Granit Xhaka (A)</v>
      </c>
    </row>
    <row r="184" spans="1:28" s="113" customFormat="1" ht="10.5" customHeight="1" x14ac:dyDescent="0.2">
      <c r="A184" s="202">
        <v>47</v>
      </c>
      <c r="B184" s="203" t="s">
        <v>432</v>
      </c>
      <c r="C184" s="203" t="s">
        <v>2</v>
      </c>
      <c r="D184" s="191" t="s">
        <v>59</v>
      </c>
      <c r="E184" s="191" t="s">
        <v>59</v>
      </c>
      <c r="F184" s="192" t="s">
        <v>59</v>
      </c>
      <c r="G184" s="192" t="s">
        <v>59</v>
      </c>
      <c r="H184" s="192"/>
      <c r="I184" s="191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72"/>
      <c r="AB184" s="175" t="str">
        <f t="shared" si="69"/>
        <v>Ayman Aourir</v>
      </c>
    </row>
    <row r="185" spans="1:28" s="113" customFormat="1" ht="10.5" customHeight="1" x14ac:dyDescent="0.2">
      <c r="A185" s="201">
        <v>9</v>
      </c>
      <c r="B185" s="195" t="s">
        <v>672</v>
      </c>
      <c r="C185" s="195" t="s">
        <v>3</v>
      </c>
      <c r="D185" s="196" t="s">
        <v>59</v>
      </c>
      <c r="E185" s="196" t="s">
        <v>59</v>
      </c>
      <c r="F185" s="197" t="s">
        <v>59</v>
      </c>
      <c r="G185" s="197" t="s">
        <v>59</v>
      </c>
      <c r="H185" s="197"/>
      <c r="I185" s="19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72"/>
      <c r="AB185" s="175" t="str">
        <f t="shared" si="69"/>
        <v>Borja Iglesias (A)</v>
      </c>
    </row>
    <row r="186" spans="1:28" s="113" customFormat="1" ht="10.5" customHeight="1" x14ac:dyDescent="0.2">
      <c r="A186" s="201">
        <v>14</v>
      </c>
      <c r="B186" s="195" t="s">
        <v>249</v>
      </c>
      <c r="C186" s="195" t="s">
        <v>3</v>
      </c>
      <c r="D186" s="196" t="s">
        <v>59</v>
      </c>
      <c r="E186" s="196" t="s">
        <v>59</v>
      </c>
      <c r="F186" s="197" t="s">
        <v>59</v>
      </c>
      <c r="G186" s="197" t="s">
        <v>59</v>
      </c>
      <c r="H186" s="197"/>
      <c r="I186" s="196"/>
      <c r="J186" s="181"/>
      <c r="K186" s="182"/>
      <c r="L186" s="182"/>
      <c r="M186" s="182">
        <v>11</v>
      </c>
      <c r="N186" s="182">
        <v>10</v>
      </c>
      <c r="O186" s="182">
        <v>11</v>
      </c>
      <c r="P186" s="182"/>
      <c r="Q186" s="182">
        <v>11</v>
      </c>
      <c r="R186" s="182"/>
      <c r="S186" s="182"/>
      <c r="T186" s="182"/>
      <c r="U186" s="182"/>
      <c r="V186" s="182"/>
      <c r="W186" s="182"/>
      <c r="X186" s="182"/>
      <c r="Y186" s="182"/>
      <c r="Z186" s="172"/>
      <c r="AB186" s="175" t="str">
        <f t="shared" ref="AB186:AB191" si="70">B186</f>
        <v>Patrick Schick (A)</v>
      </c>
    </row>
    <row r="187" spans="1:28" s="113" customFormat="1" ht="10.5" customHeight="1" x14ac:dyDescent="0.2">
      <c r="A187" s="201">
        <v>19</v>
      </c>
      <c r="B187" s="195" t="s">
        <v>609</v>
      </c>
      <c r="C187" s="195" t="s">
        <v>3</v>
      </c>
      <c r="D187" s="196" t="s">
        <v>59</v>
      </c>
      <c r="E187" s="196" t="s">
        <v>59</v>
      </c>
      <c r="F187" s="197" t="s">
        <v>59</v>
      </c>
      <c r="G187" s="197" t="s">
        <v>59</v>
      </c>
      <c r="H187" s="197"/>
      <c r="I187" s="19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72"/>
      <c r="AB187" s="175" t="str">
        <f t="shared" si="70"/>
        <v>Nathan Tella (A)</v>
      </c>
    </row>
    <row r="188" spans="1:28" s="113" customFormat="1" ht="10.5" customHeight="1" x14ac:dyDescent="0.2">
      <c r="A188" s="201">
        <v>21</v>
      </c>
      <c r="B188" s="195" t="s">
        <v>310</v>
      </c>
      <c r="C188" s="195" t="s">
        <v>3</v>
      </c>
      <c r="D188" s="196" t="s">
        <v>59</v>
      </c>
      <c r="E188" s="196" t="s">
        <v>59</v>
      </c>
      <c r="F188" s="197" t="s">
        <v>59</v>
      </c>
      <c r="G188" s="197" t="s">
        <v>59</v>
      </c>
      <c r="H188" s="197"/>
      <c r="I188" s="196"/>
      <c r="J188" s="181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72"/>
      <c r="AB188" s="175" t="str">
        <f>B188</f>
        <v>Amine Adli (A)</v>
      </c>
    </row>
    <row r="189" spans="1:28" s="113" customFormat="1" ht="10.5" customHeight="1" x14ac:dyDescent="0.2">
      <c r="A189" s="201">
        <v>22</v>
      </c>
      <c r="B189" s="195" t="s">
        <v>433</v>
      </c>
      <c r="C189" s="195" t="s">
        <v>3</v>
      </c>
      <c r="D189" s="196" t="s">
        <v>59</v>
      </c>
      <c r="E189" s="196" t="s">
        <v>59</v>
      </c>
      <c r="F189" s="197" t="s">
        <v>59</v>
      </c>
      <c r="G189" s="197" t="s">
        <v>59</v>
      </c>
      <c r="H189" s="197"/>
      <c r="I189" s="196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72"/>
      <c r="AB189" s="175" t="str">
        <f t="shared" si="70"/>
        <v>Victor Boniface (A)</v>
      </c>
    </row>
    <row r="190" spans="1:28" s="113" customFormat="1" ht="10.5" customHeight="1" x14ac:dyDescent="0.2">
      <c r="A190" s="201">
        <v>23</v>
      </c>
      <c r="B190" s="195" t="s">
        <v>583</v>
      </c>
      <c r="C190" s="195" t="s">
        <v>3</v>
      </c>
      <c r="D190" s="196" t="s">
        <v>59</v>
      </c>
      <c r="E190" s="196" t="s">
        <v>59</v>
      </c>
      <c r="F190" s="197" t="s">
        <v>59</v>
      </c>
      <c r="G190" s="197" t="s">
        <v>59</v>
      </c>
      <c r="H190" s="197"/>
      <c r="I190" s="196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72"/>
      <c r="AB190" s="175" t="str">
        <f t="shared" ref="AB190" si="71">B190</f>
        <v>Adam Hložek (A)</v>
      </c>
    </row>
    <row r="191" spans="1:28" s="113" customFormat="1" ht="10.5" customHeight="1" x14ac:dyDescent="0.2">
      <c r="A191" s="201">
        <v>40</v>
      </c>
      <c r="B191" s="195" t="s">
        <v>657</v>
      </c>
      <c r="C191" s="195" t="s">
        <v>3</v>
      </c>
      <c r="D191" s="196" t="s">
        <v>59</v>
      </c>
      <c r="E191" s="196" t="s">
        <v>59</v>
      </c>
      <c r="F191" s="197" t="s">
        <v>59</v>
      </c>
      <c r="G191" s="197" t="s">
        <v>59</v>
      </c>
      <c r="H191" s="197"/>
      <c r="I191" s="196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72"/>
      <c r="AB191" s="175" t="str">
        <f t="shared" si="70"/>
        <v>Francis Onyeka</v>
      </c>
    </row>
    <row r="192" spans="1:28" ht="15" customHeight="1" thickBot="1" x14ac:dyDescent="0.25">
      <c r="A192" s="219" t="s">
        <v>106</v>
      </c>
      <c r="B192" s="219"/>
      <c r="C192" s="219"/>
      <c r="D192" s="219"/>
      <c r="E192" s="219"/>
      <c r="F192" s="219"/>
      <c r="G192" s="219"/>
      <c r="H192" s="219"/>
      <c r="I192" s="219"/>
      <c r="J192" s="10"/>
      <c r="K192" s="176">
        <v>12</v>
      </c>
      <c r="L192" s="176">
        <v>12</v>
      </c>
      <c r="M192" s="176">
        <v>12</v>
      </c>
      <c r="N192" s="176">
        <v>12</v>
      </c>
      <c r="O192" s="176">
        <v>12</v>
      </c>
      <c r="P192" s="176">
        <v>12</v>
      </c>
      <c r="Q192" s="176">
        <v>12</v>
      </c>
      <c r="R192" s="176">
        <v>12</v>
      </c>
      <c r="S192" s="176">
        <v>12</v>
      </c>
      <c r="T192" s="176">
        <v>12</v>
      </c>
      <c r="U192" s="176">
        <v>12</v>
      </c>
      <c r="V192" s="176">
        <v>12</v>
      </c>
      <c r="W192" s="176">
        <v>12</v>
      </c>
      <c r="X192" s="176">
        <v>12</v>
      </c>
      <c r="Y192" s="176">
        <v>12</v>
      </c>
      <c r="Z192" s="217"/>
      <c r="AB192" s="175" t="str">
        <f>A192</f>
        <v>Eintracht Frankfurt</v>
      </c>
    </row>
    <row r="193" spans="1:28" ht="10.5" customHeight="1" x14ac:dyDescent="0.2">
      <c r="A193" s="177">
        <v>1</v>
      </c>
      <c r="B193" s="178" t="s">
        <v>190</v>
      </c>
      <c r="C193" s="178" t="s">
        <v>0</v>
      </c>
      <c r="D193" s="179" t="s">
        <v>59</v>
      </c>
      <c r="E193" s="179" t="s">
        <v>59</v>
      </c>
      <c r="F193" s="180" t="s">
        <v>59</v>
      </c>
      <c r="G193" s="180" t="s">
        <v>59</v>
      </c>
      <c r="H193" s="180"/>
      <c r="I193" s="179"/>
      <c r="J193" s="181"/>
      <c r="K193" s="182">
        <v>1</v>
      </c>
      <c r="L193" s="182">
        <v>1</v>
      </c>
      <c r="M193" s="182"/>
      <c r="N193" s="182"/>
      <c r="O193" s="182"/>
      <c r="P193" s="182"/>
      <c r="Q193" s="182">
        <v>1</v>
      </c>
      <c r="R193" s="182">
        <v>1</v>
      </c>
      <c r="S193" s="182"/>
      <c r="T193" s="182"/>
      <c r="U193" s="182"/>
      <c r="V193" s="182"/>
      <c r="W193" s="182"/>
      <c r="X193" s="182"/>
      <c r="Y193" s="182"/>
      <c r="AB193" s="175" t="str">
        <f t="shared" ref="AB193:AB199" si="72">B193</f>
        <v>Kevin Trapp</v>
      </c>
    </row>
    <row r="194" spans="1:28" ht="10.5" customHeight="1" x14ac:dyDescent="0.2">
      <c r="A194" s="177">
        <v>31</v>
      </c>
      <c r="B194" s="178" t="s">
        <v>241</v>
      </c>
      <c r="C194" s="178" t="s">
        <v>0</v>
      </c>
      <c r="D194" s="179" t="s">
        <v>59</v>
      </c>
      <c r="E194" s="179" t="s">
        <v>59</v>
      </c>
      <c r="F194" s="180" t="s">
        <v>59</v>
      </c>
      <c r="G194" s="180" t="s">
        <v>59</v>
      </c>
      <c r="H194" s="180"/>
      <c r="I194" s="179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ref="AB194:AB197" si="73">B194</f>
        <v>Jens Grahl</v>
      </c>
    </row>
    <row r="195" spans="1:28" ht="10.5" customHeight="1" x14ac:dyDescent="0.2">
      <c r="A195" s="177">
        <v>38</v>
      </c>
      <c r="B195" s="178" t="s">
        <v>642</v>
      </c>
      <c r="C195" s="178" t="s">
        <v>0</v>
      </c>
      <c r="D195" s="179" t="s">
        <v>59</v>
      </c>
      <c r="E195" s="179" t="s">
        <v>59</v>
      </c>
      <c r="F195" s="180" t="s">
        <v>59</v>
      </c>
      <c r="G195" s="180" t="s">
        <v>59</v>
      </c>
      <c r="H195" s="180"/>
      <c r="I195" s="179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>B195</f>
        <v>Nils Ramming</v>
      </c>
    </row>
    <row r="196" spans="1:28" ht="10.5" customHeight="1" x14ac:dyDescent="0.2">
      <c r="A196" s="177">
        <v>40</v>
      </c>
      <c r="B196" s="178" t="s">
        <v>611</v>
      </c>
      <c r="C196" s="178" t="s">
        <v>0</v>
      </c>
      <c r="D196" s="179" t="s">
        <v>59</v>
      </c>
      <c r="E196" s="179" t="s">
        <v>59</v>
      </c>
      <c r="F196" s="180" t="s">
        <v>59</v>
      </c>
      <c r="G196" s="180" t="s">
        <v>59</v>
      </c>
      <c r="H196" s="180"/>
      <c r="I196" s="179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>B196</f>
        <v>Kauã Santos (A)</v>
      </c>
    </row>
    <row r="197" spans="1:28" ht="10.5" customHeight="1" x14ac:dyDescent="0.2">
      <c r="A197" s="177">
        <v>41</v>
      </c>
      <c r="B197" s="178" t="s">
        <v>434</v>
      </c>
      <c r="C197" s="178" t="s">
        <v>0</v>
      </c>
      <c r="D197" s="179" t="s">
        <v>59</v>
      </c>
      <c r="E197" s="179" t="s">
        <v>59</v>
      </c>
      <c r="F197" s="180" t="s">
        <v>59</v>
      </c>
      <c r="G197" s="180" t="s">
        <v>59</v>
      </c>
      <c r="H197" s="180"/>
      <c r="I197" s="179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 t="shared" si="73"/>
        <v>Simon Simoni (A)</v>
      </c>
    </row>
    <row r="198" spans="1:28" ht="10.5" customHeight="1" x14ac:dyDescent="0.2">
      <c r="A198" s="177">
        <v>42</v>
      </c>
      <c r="B198" s="178" t="s">
        <v>613</v>
      </c>
      <c r="C198" s="178" t="s">
        <v>0</v>
      </c>
      <c r="D198" s="179" t="s">
        <v>59</v>
      </c>
      <c r="E198" s="179" t="s">
        <v>59</v>
      </c>
      <c r="F198" s="180" t="s">
        <v>59</v>
      </c>
      <c r="G198" s="180" t="s">
        <v>59</v>
      </c>
      <c r="H198" s="180"/>
      <c r="I198" s="179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ref="AB198" si="74">B198</f>
        <v>Luke Grauer</v>
      </c>
    </row>
    <row r="199" spans="1:28" ht="10.5" customHeight="1" x14ac:dyDescent="0.2">
      <c r="A199" s="198">
        <v>3</v>
      </c>
      <c r="B199" s="199" t="s">
        <v>435</v>
      </c>
      <c r="C199" s="185" t="s">
        <v>1</v>
      </c>
      <c r="D199" s="186" t="s">
        <v>59</v>
      </c>
      <c r="E199" s="186" t="s">
        <v>59</v>
      </c>
      <c r="F199" s="187" t="s">
        <v>59</v>
      </c>
      <c r="G199" s="187" t="s">
        <v>59</v>
      </c>
      <c r="H199" s="187"/>
      <c r="I199" s="186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72"/>
        <v>Willian Pacho (A)</v>
      </c>
    </row>
    <row r="200" spans="1:28" ht="10.5" customHeight="1" x14ac:dyDescent="0.2">
      <c r="A200" s="198">
        <v>4</v>
      </c>
      <c r="B200" s="199" t="s">
        <v>436</v>
      </c>
      <c r="C200" s="185" t="s">
        <v>1</v>
      </c>
      <c r="D200" s="186" t="s">
        <v>59</v>
      </c>
      <c r="E200" s="186" t="s">
        <v>59</v>
      </c>
      <c r="F200" s="187" t="s">
        <v>59</v>
      </c>
      <c r="G200" s="187" t="s">
        <v>59</v>
      </c>
      <c r="H200" s="187"/>
      <c r="I200" s="186"/>
      <c r="J200" s="181"/>
      <c r="K200" s="182"/>
      <c r="L200" s="182"/>
      <c r="M200" s="182"/>
      <c r="N200" s="182">
        <v>4</v>
      </c>
      <c r="O200" s="182">
        <v>4</v>
      </c>
      <c r="P200" s="182">
        <v>4</v>
      </c>
      <c r="Q200" s="182">
        <v>2</v>
      </c>
      <c r="R200" s="182"/>
      <c r="S200" s="182"/>
      <c r="T200" s="182"/>
      <c r="U200" s="182"/>
      <c r="V200" s="182"/>
      <c r="W200" s="182"/>
      <c r="X200" s="182"/>
      <c r="Y200" s="182"/>
      <c r="AB200" s="175" t="str">
        <f t="shared" ref="AB200:AB209" si="75">B200</f>
        <v>Robin Koch</v>
      </c>
    </row>
    <row r="201" spans="1:28" ht="10.5" customHeight="1" x14ac:dyDescent="0.2">
      <c r="A201" s="198">
        <v>5</v>
      </c>
      <c r="B201" s="199" t="s">
        <v>584</v>
      </c>
      <c r="C201" s="185" t="s">
        <v>1</v>
      </c>
      <c r="D201" s="186" t="s">
        <v>59</v>
      </c>
      <c r="E201" s="186" t="s">
        <v>59</v>
      </c>
      <c r="F201" s="187" t="s">
        <v>59</v>
      </c>
      <c r="G201" s="187" t="s">
        <v>59</v>
      </c>
      <c r="H201" s="187"/>
      <c r="I201" s="186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 t="shared" si="75"/>
        <v>Hrvoje Smolčić (A)</v>
      </c>
    </row>
    <row r="202" spans="1:28" ht="10.5" customHeight="1" x14ac:dyDescent="0.2">
      <c r="A202" s="198">
        <v>20</v>
      </c>
      <c r="B202" s="199" t="s">
        <v>66</v>
      </c>
      <c r="C202" s="185" t="s">
        <v>1</v>
      </c>
      <c r="D202" s="186" t="s">
        <v>59</v>
      </c>
      <c r="E202" s="186" t="s">
        <v>59</v>
      </c>
      <c r="F202" s="187" t="s">
        <v>59</v>
      </c>
      <c r="G202" s="187" t="s">
        <v>59</v>
      </c>
      <c r="H202" s="187"/>
      <c r="I202" s="186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 t="shared" si="75"/>
        <v>Makoto Hasebe (A)</v>
      </c>
    </row>
    <row r="203" spans="1:28" ht="10.5" customHeight="1" x14ac:dyDescent="0.2">
      <c r="A203" s="198">
        <v>24</v>
      </c>
      <c r="B203" s="199" t="s">
        <v>587</v>
      </c>
      <c r="C203" s="185" t="s">
        <v>1</v>
      </c>
      <c r="D203" s="186" t="s">
        <v>59</v>
      </c>
      <c r="E203" s="186" t="s">
        <v>59</v>
      </c>
      <c r="F203" s="187" t="s">
        <v>59</v>
      </c>
      <c r="G203" s="187" t="s">
        <v>59</v>
      </c>
      <c r="H203" s="187"/>
      <c r="I203" s="186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si="75"/>
        <v>Aurélio Buta (A)</v>
      </c>
    </row>
    <row r="204" spans="1:28" ht="10.5" customHeight="1" x14ac:dyDescent="0.2">
      <c r="A204" s="198">
        <v>29</v>
      </c>
      <c r="B204" s="199" t="s">
        <v>614</v>
      </c>
      <c r="C204" s="185" t="s">
        <v>1</v>
      </c>
      <c r="D204" s="186" t="s">
        <v>59</v>
      </c>
      <c r="E204" s="186" t="s">
        <v>59</v>
      </c>
      <c r="F204" s="187" t="s">
        <v>59</v>
      </c>
      <c r="G204" s="187" t="s">
        <v>59</v>
      </c>
      <c r="H204" s="187"/>
      <c r="I204" s="186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>B204</f>
        <v>Niels Nkounkou (A)</v>
      </c>
    </row>
    <row r="205" spans="1:28" ht="10.5" customHeight="1" x14ac:dyDescent="0.2">
      <c r="A205" s="198">
        <v>31</v>
      </c>
      <c r="B205" s="199" t="s">
        <v>401</v>
      </c>
      <c r="C205" s="185" t="s">
        <v>1</v>
      </c>
      <c r="D205" s="186" t="s">
        <v>59</v>
      </c>
      <c r="E205" s="186" t="s">
        <v>59</v>
      </c>
      <c r="F205" s="187" t="s">
        <v>59</v>
      </c>
      <c r="G205" s="187" t="s">
        <v>59</v>
      </c>
      <c r="H205" s="187"/>
      <c r="I205" s="18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>B205</f>
        <v>Philipp Max</v>
      </c>
    </row>
    <row r="206" spans="1:28" ht="10.5" customHeight="1" x14ac:dyDescent="0.2">
      <c r="A206" s="198">
        <v>34</v>
      </c>
      <c r="B206" s="199" t="s">
        <v>615</v>
      </c>
      <c r="C206" s="185" t="s">
        <v>1</v>
      </c>
      <c r="D206" s="186" t="s">
        <v>59</v>
      </c>
      <c r="E206" s="186" t="s">
        <v>59</v>
      </c>
      <c r="F206" s="187" t="s">
        <v>59</v>
      </c>
      <c r="G206" s="187" t="s">
        <v>59</v>
      </c>
      <c r="H206" s="187"/>
      <c r="I206" s="186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>B206</f>
        <v>Nnamdi Collins</v>
      </c>
    </row>
    <row r="207" spans="1:28" ht="10.5" customHeight="1" x14ac:dyDescent="0.2">
      <c r="A207" s="198">
        <v>35</v>
      </c>
      <c r="B207" s="199" t="s">
        <v>235</v>
      </c>
      <c r="C207" s="185" t="s">
        <v>1</v>
      </c>
      <c r="D207" s="186" t="s">
        <v>59</v>
      </c>
      <c r="E207" s="186" t="s">
        <v>59</v>
      </c>
      <c r="F207" s="187" t="s">
        <v>59</v>
      </c>
      <c r="G207" s="187" t="s">
        <v>59</v>
      </c>
      <c r="H207" s="187"/>
      <c r="I207" s="186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si="75"/>
        <v>Tuta (A)</v>
      </c>
    </row>
    <row r="208" spans="1:28" ht="10.5" customHeight="1" x14ac:dyDescent="0.2">
      <c r="A208" s="198">
        <v>46</v>
      </c>
      <c r="B208" s="199" t="s">
        <v>437</v>
      </c>
      <c r="C208" s="185" t="s">
        <v>1</v>
      </c>
      <c r="D208" s="186" t="s">
        <v>59</v>
      </c>
      <c r="E208" s="186" t="s">
        <v>59</v>
      </c>
      <c r="F208" s="187" t="s">
        <v>59</v>
      </c>
      <c r="G208" s="187" t="s">
        <v>59</v>
      </c>
      <c r="H208" s="187"/>
      <c r="I208" s="186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ref="AB208" si="76">B208</f>
        <v>Dario Gebuhr</v>
      </c>
    </row>
    <row r="209" spans="1:28" ht="10.5" customHeight="1" x14ac:dyDescent="0.2">
      <c r="A209" s="198">
        <v>47</v>
      </c>
      <c r="B209" s="199" t="s">
        <v>438</v>
      </c>
      <c r="C209" s="185" t="s">
        <v>1</v>
      </c>
      <c r="D209" s="186" t="s">
        <v>59</v>
      </c>
      <c r="E209" s="186" t="s">
        <v>59</v>
      </c>
      <c r="F209" s="187" t="s">
        <v>59</v>
      </c>
      <c r="G209" s="187" t="s">
        <v>59</v>
      </c>
      <c r="H209" s="187"/>
      <c r="I209" s="186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si="75"/>
        <v>Elias Baum</v>
      </c>
    </row>
    <row r="210" spans="1:28" ht="10.5" customHeight="1" x14ac:dyDescent="0.2">
      <c r="A210" s="200">
        <v>8</v>
      </c>
      <c r="B210" s="190" t="s">
        <v>610</v>
      </c>
      <c r="C210" s="190" t="s">
        <v>2</v>
      </c>
      <c r="D210" s="191" t="s">
        <v>59</v>
      </c>
      <c r="E210" s="191" t="s">
        <v>59</v>
      </c>
      <c r="F210" s="192" t="s">
        <v>59</v>
      </c>
      <c r="G210" s="192" t="s">
        <v>59</v>
      </c>
      <c r="H210" s="192"/>
      <c r="I210" s="191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>B210</f>
        <v>Farès Chaibi (A)</v>
      </c>
    </row>
    <row r="211" spans="1:28" ht="10.5" customHeight="1" x14ac:dyDescent="0.2">
      <c r="A211" s="200">
        <v>15</v>
      </c>
      <c r="B211" s="190" t="s">
        <v>204</v>
      </c>
      <c r="C211" s="190" t="s">
        <v>2</v>
      </c>
      <c r="D211" s="191" t="s">
        <v>59</v>
      </c>
      <c r="E211" s="191" t="s">
        <v>59</v>
      </c>
      <c r="F211" s="192" t="s">
        <v>59</v>
      </c>
      <c r="G211" s="192" t="s">
        <v>59</v>
      </c>
      <c r="H211" s="192"/>
      <c r="I211" s="191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 t="shared" ref="AB211:AB214" si="77">B211</f>
        <v>Ellyes Skhiri (A)</v>
      </c>
    </row>
    <row r="212" spans="1:28" ht="10.5" customHeight="1" x14ac:dyDescent="0.2">
      <c r="A212" s="200">
        <v>16</v>
      </c>
      <c r="B212" s="190" t="s">
        <v>439</v>
      </c>
      <c r="C212" s="190" t="s">
        <v>2</v>
      </c>
      <c r="D212" s="191" t="s">
        <v>59</v>
      </c>
      <c r="E212" s="191" t="s">
        <v>59</v>
      </c>
      <c r="F212" s="192" t="s">
        <v>59</v>
      </c>
      <c r="G212" s="192" t="s">
        <v>59</v>
      </c>
      <c r="H212" s="192"/>
      <c r="I212" s="191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B212" s="175" t="str">
        <f t="shared" si="77"/>
        <v>Hugo Larsson (A)</v>
      </c>
    </row>
    <row r="213" spans="1:28" ht="10.5" customHeight="1" x14ac:dyDescent="0.2">
      <c r="A213" s="200">
        <v>17</v>
      </c>
      <c r="B213" s="190" t="s">
        <v>111</v>
      </c>
      <c r="C213" s="190" t="s">
        <v>2</v>
      </c>
      <c r="D213" s="191" t="s">
        <v>59</v>
      </c>
      <c r="E213" s="191" t="s">
        <v>59</v>
      </c>
      <c r="F213" s="192" t="s">
        <v>59</v>
      </c>
      <c r="G213" s="192" t="s">
        <v>59</v>
      </c>
      <c r="H213" s="192"/>
      <c r="I213" s="191"/>
      <c r="J213" s="181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AB213" s="175" t="str">
        <f t="shared" si="77"/>
        <v>Sebastian Rode</v>
      </c>
    </row>
    <row r="214" spans="1:28" ht="10.5" customHeight="1" x14ac:dyDescent="0.2">
      <c r="A214" s="200">
        <v>22</v>
      </c>
      <c r="B214" s="190" t="s">
        <v>98</v>
      </c>
      <c r="C214" s="190" t="s">
        <v>2</v>
      </c>
      <c r="D214" s="191" t="s">
        <v>59</v>
      </c>
      <c r="E214" s="191" t="s">
        <v>59</v>
      </c>
      <c r="F214" s="192" t="s">
        <v>59</v>
      </c>
      <c r="G214" s="192" t="s">
        <v>59</v>
      </c>
      <c r="H214" s="192"/>
      <c r="I214" s="191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B214" s="175" t="str">
        <f t="shared" si="77"/>
        <v>Timothy Chandler</v>
      </c>
    </row>
    <row r="215" spans="1:28" ht="10.5" customHeight="1" x14ac:dyDescent="0.2">
      <c r="A215" s="200">
        <v>25</v>
      </c>
      <c r="B215" s="190" t="s">
        <v>650</v>
      </c>
      <c r="C215" s="190" t="s">
        <v>2</v>
      </c>
      <c r="D215" s="191" t="s">
        <v>59</v>
      </c>
      <c r="E215" s="191" t="s">
        <v>59</v>
      </c>
      <c r="F215" s="192" t="s">
        <v>59</v>
      </c>
      <c r="G215" s="192" t="s">
        <v>59</v>
      </c>
      <c r="H215" s="192"/>
      <c r="I215" s="191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B215" s="175" t="str">
        <f>B215</f>
        <v>Donny van de Beek (A)</v>
      </c>
    </row>
    <row r="216" spans="1:28" ht="10.5" customHeight="1" x14ac:dyDescent="0.2">
      <c r="A216" s="200">
        <v>26</v>
      </c>
      <c r="B216" s="190" t="s">
        <v>377</v>
      </c>
      <c r="C216" s="190" t="s">
        <v>2</v>
      </c>
      <c r="D216" s="191" t="s">
        <v>59</v>
      </c>
      <c r="E216" s="191" t="s">
        <v>59</v>
      </c>
      <c r="F216" s="192" t="s">
        <v>59</v>
      </c>
      <c r="G216" s="192" t="s">
        <v>59</v>
      </c>
      <c r="H216" s="192"/>
      <c r="I216" s="191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B216" s="175" t="str">
        <f>B216</f>
        <v>Eric Junior Dina Ebimbe (A)</v>
      </c>
    </row>
    <row r="217" spans="1:28" ht="10.5" customHeight="1" x14ac:dyDescent="0.2">
      <c r="A217" s="200">
        <v>27</v>
      </c>
      <c r="B217" s="190" t="s">
        <v>348</v>
      </c>
      <c r="C217" s="190" t="s">
        <v>2</v>
      </c>
      <c r="D217" s="191" t="s">
        <v>59</v>
      </c>
      <c r="E217" s="191" t="s">
        <v>59</v>
      </c>
      <c r="F217" s="192" t="s">
        <v>59</v>
      </c>
      <c r="G217" s="192" t="s">
        <v>59</v>
      </c>
      <c r="H217" s="192"/>
      <c r="I217" s="191"/>
      <c r="J217" s="181"/>
      <c r="K217" s="182"/>
      <c r="L217" s="182"/>
      <c r="M217" s="182">
        <v>8</v>
      </c>
      <c r="N217" s="182"/>
      <c r="O217" s="182">
        <v>7</v>
      </c>
      <c r="P217" s="182"/>
      <c r="Q217" s="182"/>
      <c r="R217" s="182"/>
      <c r="S217" s="182">
        <v>7</v>
      </c>
      <c r="T217" s="182"/>
      <c r="U217" s="182"/>
      <c r="V217" s="182"/>
      <c r="W217" s="182"/>
      <c r="X217" s="182"/>
      <c r="Y217" s="182"/>
      <c r="AB217" s="175" t="str">
        <f t="shared" ref="AB217:AB218" si="78">B217</f>
        <v>Mario Götze</v>
      </c>
    </row>
    <row r="218" spans="1:28" ht="10.5" customHeight="1" x14ac:dyDescent="0.2">
      <c r="A218" s="200">
        <v>30</v>
      </c>
      <c r="B218" s="190" t="s">
        <v>388</v>
      </c>
      <c r="C218" s="190" t="s">
        <v>2</v>
      </c>
      <c r="D218" s="191" t="s">
        <v>59</v>
      </c>
      <c r="E218" s="191" t="s">
        <v>59</v>
      </c>
      <c r="F218" s="192" t="s">
        <v>59</v>
      </c>
      <c r="G218" s="192" t="s">
        <v>59</v>
      </c>
      <c r="H218" s="192"/>
      <c r="I218" s="191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AB218" s="175" t="str">
        <f t="shared" si="78"/>
        <v>Paxton Aaronson (A)</v>
      </c>
    </row>
    <row r="219" spans="1:28" ht="10.5" customHeight="1" x14ac:dyDescent="0.2">
      <c r="A219" s="200">
        <v>37</v>
      </c>
      <c r="B219" s="190" t="s">
        <v>616</v>
      </c>
      <c r="C219" s="190" t="s">
        <v>2</v>
      </c>
      <c r="D219" s="191" t="s">
        <v>59</v>
      </c>
      <c r="E219" s="191" t="s">
        <v>59</v>
      </c>
      <c r="F219" s="192" t="s">
        <v>59</v>
      </c>
      <c r="G219" s="192" t="s">
        <v>59</v>
      </c>
      <c r="H219" s="192"/>
      <c r="I219" s="191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AB219" s="175" t="str">
        <f>B219</f>
        <v>Sidney Raebiger</v>
      </c>
    </row>
    <row r="220" spans="1:28" ht="10.5" customHeight="1" x14ac:dyDescent="0.2">
      <c r="A220" s="200">
        <v>44</v>
      </c>
      <c r="B220" s="190" t="s">
        <v>440</v>
      </c>
      <c r="C220" s="190" t="s">
        <v>2</v>
      </c>
      <c r="D220" s="191" t="s">
        <v>59</v>
      </c>
      <c r="E220" s="191" t="s">
        <v>59</v>
      </c>
      <c r="F220" s="192" t="s">
        <v>59</v>
      </c>
      <c r="G220" s="192" t="s">
        <v>59</v>
      </c>
      <c r="H220" s="192"/>
      <c r="I220" s="191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AB220" s="175" t="str">
        <f>B220</f>
        <v>Davis Bautista (A)</v>
      </c>
    </row>
    <row r="221" spans="1:28" ht="10.5" customHeight="1" x14ac:dyDescent="0.2">
      <c r="A221" s="200">
        <v>45</v>
      </c>
      <c r="B221" s="190" t="s">
        <v>349</v>
      </c>
      <c r="C221" s="190" t="s">
        <v>2</v>
      </c>
      <c r="D221" s="191" t="s">
        <v>59</v>
      </c>
      <c r="E221" s="191" t="s">
        <v>59</v>
      </c>
      <c r="F221" s="192" t="s">
        <v>59</v>
      </c>
      <c r="G221" s="192" t="s">
        <v>59</v>
      </c>
      <c r="H221" s="192"/>
      <c r="I221" s="191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AB221" s="175" t="str">
        <f t="shared" ref="AB221" si="79">B221</f>
        <v>Mehdi Loune</v>
      </c>
    </row>
    <row r="222" spans="1:28" ht="10.5" customHeight="1" x14ac:dyDescent="0.2">
      <c r="A222" s="200">
        <v>49</v>
      </c>
      <c r="B222" s="190" t="s">
        <v>441</v>
      </c>
      <c r="C222" s="190" t="s">
        <v>2</v>
      </c>
      <c r="D222" s="191" t="s">
        <v>59</v>
      </c>
      <c r="E222" s="191" t="s">
        <v>59</v>
      </c>
      <c r="F222" s="192" t="s">
        <v>59</v>
      </c>
      <c r="G222" s="192" t="s">
        <v>59</v>
      </c>
      <c r="H222" s="192"/>
      <c r="I222" s="191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AB222" s="175" t="str">
        <f t="shared" ref="AB222" si="80">B222</f>
        <v>Harpreet Ghotra</v>
      </c>
    </row>
    <row r="223" spans="1:28" ht="10.5" customHeight="1" x14ac:dyDescent="0.2">
      <c r="A223" s="201">
        <v>7</v>
      </c>
      <c r="B223" s="195" t="s">
        <v>311</v>
      </c>
      <c r="C223" s="195" t="s">
        <v>3</v>
      </c>
      <c r="D223" s="196" t="s">
        <v>59</v>
      </c>
      <c r="E223" s="196" t="s">
        <v>59</v>
      </c>
      <c r="F223" s="197" t="s">
        <v>59</v>
      </c>
      <c r="G223" s="197" t="s">
        <v>59</v>
      </c>
      <c r="H223" s="197"/>
      <c r="I223" s="19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AB223" s="175" t="str">
        <f t="shared" ref="AB223:AB227" si="81">B223</f>
        <v>Omar Marmoush (A)</v>
      </c>
    </row>
    <row r="224" spans="1:28" ht="10.5" customHeight="1" x14ac:dyDescent="0.2">
      <c r="A224" s="201">
        <v>9</v>
      </c>
      <c r="B224" s="195" t="s">
        <v>651</v>
      </c>
      <c r="C224" s="195" t="s">
        <v>3</v>
      </c>
      <c r="D224" s="196" t="s">
        <v>59</v>
      </c>
      <c r="E224" s="196" t="s">
        <v>59</v>
      </c>
      <c r="F224" s="197" t="s">
        <v>59</v>
      </c>
      <c r="G224" s="197" t="s">
        <v>59</v>
      </c>
      <c r="H224" s="197"/>
      <c r="I224" s="196"/>
      <c r="J224" s="181"/>
      <c r="K224" s="182"/>
      <c r="L224" s="182"/>
      <c r="M224" s="182"/>
      <c r="N224" s="182">
        <v>11</v>
      </c>
      <c r="O224" s="182"/>
      <c r="P224" s="182">
        <v>9</v>
      </c>
      <c r="Q224" s="182"/>
      <c r="R224" s="182"/>
      <c r="S224" s="182">
        <v>11</v>
      </c>
      <c r="T224" s="182"/>
      <c r="U224" s="182"/>
      <c r="V224" s="182"/>
      <c r="W224" s="182"/>
      <c r="X224" s="182"/>
      <c r="Y224" s="182"/>
      <c r="AB224" s="175" t="str">
        <f t="shared" si="81"/>
        <v>Saša Kalajdžić (A)</v>
      </c>
    </row>
    <row r="225" spans="1:28" ht="10.5" customHeight="1" x14ac:dyDescent="0.2">
      <c r="A225" s="201">
        <v>18</v>
      </c>
      <c r="B225" s="195" t="s">
        <v>222</v>
      </c>
      <c r="C225" s="195" t="s">
        <v>3</v>
      </c>
      <c r="D225" s="196" t="s">
        <v>59</v>
      </c>
      <c r="E225" s="196" t="s">
        <v>59</v>
      </c>
      <c r="F225" s="197" t="s">
        <v>59</v>
      </c>
      <c r="G225" s="197" t="s">
        <v>59</v>
      </c>
      <c r="H225" s="197"/>
      <c r="I225" s="196"/>
      <c r="J225" s="181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AB225" s="175" t="str">
        <f t="shared" ref="AB225:AB226" si="82">B225</f>
        <v>Jessic Ngankam</v>
      </c>
    </row>
    <row r="226" spans="1:28" ht="10.5" customHeight="1" x14ac:dyDescent="0.2">
      <c r="A226" s="201">
        <v>19</v>
      </c>
      <c r="B226" s="195" t="s">
        <v>673</v>
      </c>
      <c r="C226" s="195" t="s">
        <v>3</v>
      </c>
      <c r="D226" s="196" t="s">
        <v>59</v>
      </c>
      <c r="E226" s="196" t="s">
        <v>59</v>
      </c>
      <c r="F226" s="197" t="s">
        <v>59</v>
      </c>
      <c r="G226" s="197" t="s">
        <v>59</v>
      </c>
      <c r="H226" s="197"/>
      <c r="I226" s="196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AB226" s="175" t="str">
        <f t="shared" si="82"/>
        <v>Jean-Matteo Bahoya (A)</v>
      </c>
    </row>
    <row r="227" spans="1:28" ht="10.5" customHeight="1" x14ac:dyDescent="0.2">
      <c r="A227" s="201">
        <v>23</v>
      </c>
      <c r="B227" s="195" t="s">
        <v>442</v>
      </c>
      <c r="C227" s="195" t="s">
        <v>3</v>
      </c>
      <c r="D227" s="196" t="s">
        <v>59</v>
      </c>
      <c r="E227" s="196" t="s">
        <v>59</v>
      </c>
      <c r="F227" s="197" t="s">
        <v>59</v>
      </c>
      <c r="G227" s="197" t="s">
        <v>59</v>
      </c>
      <c r="H227" s="197"/>
      <c r="I227" s="196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AB227" s="175" t="str">
        <f t="shared" si="81"/>
        <v>Jens Petter Hauge</v>
      </c>
    </row>
    <row r="228" spans="1:28" ht="10.5" customHeight="1" x14ac:dyDescent="0.2">
      <c r="A228" s="201">
        <v>36</v>
      </c>
      <c r="B228" s="195" t="s">
        <v>255</v>
      </c>
      <c r="C228" s="195" t="s">
        <v>3</v>
      </c>
      <c r="D228" s="196" t="s">
        <v>59</v>
      </c>
      <c r="E228" s="196" t="s">
        <v>59</v>
      </c>
      <c r="F228" s="197" t="s">
        <v>59</v>
      </c>
      <c r="G228" s="197" t="s">
        <v>59</v>
      </c>
      <c r="H228" s="197"/>
      <c r="I228" s="196"/>
      <c r="J228" s="181"/>
      <c r="K228" s="182">
        <v>11</v>
      </c>
      <c r="L228" s="182">
        <v>10</v>
      </c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AB228" s="175" t="str">
        <f t="shared" ref="AB228:AB230" si="83">B228</f>
        <v>Ansgar Knauff</v>
      </c>
    </row>
    <row r="229" spans="1:28" ht="10.5" customHeight="1" x14ac:dyDescent="0.2">
      <c r="A229" s="201">
        <v>43</v>
      </c>
      <c r="B229" s="195" t="s">
        <v>443</v>
      </c>
      <c r="C229" s="195" t="s">
        <v>3</v>
      </c>
      <c r="D229" s="196" t="s">
        <v>59</v>
      </c>
      <c r="E229" s="196" t="s">
        <v>59</v>
      </c>
      <c r="F229" s="197" t="s">
        <v>59</v>
      </c>
      <c r="G229" s="197" t="s">
        <v>59</v>
      </c>
      <c r="H229" s="197"/>
      <c r="I229" s="196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AB229" s="175" t="str">
        <f t="shared" ref="AB229" si="84">B229</f>
        <v>Noel Futkeu</v>
      </c>
    </row>
    <row r="230" spans="1:28" ht="10.5" customHeight="1" x14ac:dyDescent="0.2">
      <c r="A230" s="201">
        <v>48</v>
      </c>
      <c r="B230" s="195" t="s">
        <v>568</v>
      </c>
      <c r="C230" s="195" t="s">
        <v>3</v>
      </c>
      <c r="D230" s="196" t="s">
        <v>59</v>
      </c>
      <c r="E230" s="196" t="s">
        <v>59</v>
      </c>
      <c r="F230" s="197" t="s">
        <v>59</v>
      </c>
      <c r="G230" s="197" t="s">
        <v>59</v>
      </c>
      <c r="H230" s="197"/>
      <c r="I230" s="196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AB230" s="175" t="str">
        <f t="shared" si="83"/>
        <v>Nacho Ferri (A)</v>
      </c>
    </row>
    <row r="231" spans="1:28" ht="15" customHeight="1" thickBot="1" x14ac:dyDescent="0.25">
      <c r="A231" s="219" t="s">
        <v>31</v>
      </c>
      <c r="B231" s="219"/>
      <c r="C231" s="219"/>
      <c r="D231" s="219"/>
      <c r="E231" s="219"/>
      <c r="F231" s="219"/>
      <c r="G231" s="219"/>
      <c r="H231" s="219"/>
      <c r="I231" s="219"/>
      <c r="J231" s="10"/>
      <c r="K231" s="176">
        <v>12</v>
      </c>
      <c r="L231" s="176">
        <v>12</v>
      </c>
      <c r="M231" s="176">
        <v>12</v>
      </c>
      <c r="N231" s="176">
        <v>12</v>
      </c>
      <c r="O231" s="176">
        <v>12</v>
      </c>
      <c r="P231" s="176">
        <v>12</v>
      </c>
      <c r="Q231" s="176">
        <v>12</v>
      </c>
      <c r="R231" s="176">
        <v>12</v>
      </c>
      <c r="S231" s="176">
        <v>12</v>
      </c>
      <c r="T231" s="176">
        <v>12</v>
      </c>
      <c r="U231" s="176">
        <v>12</v>
      </c>
      <c r="V231" s="176">
        <v>12</v>
      </c>
      <c r="W231" s="176">
        <v>12</v>
      </c>
      <c r="X231" s="176">
        <v>12</v>
      </c>
      <c r="Y231" s="176">
        <v>12</v>
      </c>
      <c r="Z231" s="217"/>
      <c r="AB231" s="175" t="str">
        <f>A231</f>
        <v>VfL Wolfsburg</v>
      </c>
    </row>
    <row r="232" spans="1:28" s="113" customFormat="1" ht="10.5" customHeight="1" x14ac:dyDescent="0.2">
      <c r="A232" s="177">
        <v>1</v>
      </c>
      <c r="B232" s="178" t="s">
        <v>101</v>
      </c>
      <c r="C232" s="178" t="s">
        <v>0</v>
      </c>
      <c r="D232" s="179" t="s">
        <v>59</v>
      </c>
      <c r="E232" s="179" t="s">
        <v>59</v>
      </c>
      <c r="F232" s="180" t="s">
        <v>59</v>
      </c>
      <c r="G232" s="180" t="s">
        <v>59</v>
      </c>
      <c r="H232" s="180"/>
      <c r="I232" s="179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 t="shared" ref="AB232" si="85">B232</f>
        <v>Koen Casteels (A)</v>
      </c>
    </row>
    <row r="233" spans="1:28" s="113" customFormat="1" ht="10.5" customHeight="1" x14ac:dyDescent="0.2">
      <c r="A233" s="177">
        <v>12</v>
      </c>
      <c r="B233" s="178" t="s">
        <v>171</v>
      </c>
      <c r="C233" s="178" t="s">
        <v>0</v>
      </c>
      <c r="D233" s="179" t="s">
        <v>59</v>
      </c>
      <c r="E233" s="179" t="s">
        <v>59</v>
      </c>
      <c r="F233" s="180" t="s">
        <v>59</v>
      </c>
      <c r="G233" s="180" t="s">
        <v>59</v>
      </c>
      <c r="H233" s="180"/>
      <c r="I233" s="179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ref="AB233" si="86">B233</f>
        <v>Pavao Pervan (A)</v>
      </c>
    </row>
    <row r="234" spans="1:28" s="113" customFormat="1" ht="10.5" customHeight="1" x14ac:dyDescent="0.2">
      <c r="A234" s="177">
        <v>30</v>
      </c>
      <c r="B234" s="178" t="s">
        <v>187</v>
      </c>
      <c r="C234" s="178" t="s">
        <v>0</v>
      </c>
      <c r="D234" s="179" t="s">
        <v>59</v>
      </c>
      <c r="E234" s="179" t="s">
        <v>59</v>
      </c>
      <c r="F234" s="180" t="s">
        <v>59</v>
      </c>
      <c r="G234" s="180" t="s">
        <v>59</v>
      </c>
      <c r="H234" s="180"/>
      <c r="I234" s="179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ref="AB234" si="87">B234</f>
        <v>Niklas Klinger</v>
      </c>
    </row>
    <row r="235" spans="1:28" s="113" customFormat="1" ht="10.5" customHeight="1" x14ac:dyDescent="0.2">
      <c r="A235" s="198">
        <v>2</v>
      </c>
      <c r="B235" s="199" t="s">
        <v>351</v>
      </c>
      <c r="C235" s="185" t="s">
        <v>1</v>
      </c>
      <c r="D235" s="186" t="s">
        <v>59</v>
      </c>
      <c r="E235" s="186" t="s">
        <v>59</v>
      </c>
      <c r="F235" s="187" t="s">
        <v>59</v>
      </c>
      <c r="G235" s="187" t="s">
        <v>59</v>
      </c>
      <c r="H235" s="187"/>
      <c r="I235" s="186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" si="88">B235</f>
        <v>Kilian Fischer</v>
      </c>
    </row>
    <row r="236" spans="1:28" s="113" customFormat="1" ht="10.5" customHeight="1" x14ac:dyDescent="0.2">
      <c r="A236" s="198">
        <v>3</v>
      </c>
      <c r="B236" s="199" t="s">
        <v>203</v>
      </c>
      <c r="C236" s="185" t="s">
        <v>1</v>
      </c>
      <c r="D236" s="186" t="s">
        <v>59</v>
      </c>
      <c r="E236" s="186" t="s">
        <v>59</v>
      </c>
      <c r="F236" s="187" t="s">
        <v>59</v>
      </c>
      <c r="G236" s="187" t="s">
        <v>59</v>
      </c>
      <c r="H236" s="187"/>
      <c r="I236" s="186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ref="AB236:AB241" si="89">B236</f>
        <v>Sebastiaan Bornauw (A)</v>
      </c>
    </row>
    <row r="237" spans="1:28" s="113" customFormat="1" ht="10.5" customHeight="1" x14ac:dyDescent="0.2">
      <c r="A237" s="198">
        <v>4</v>
      </c>
      <c r="B237" s="199" t="s">
        <v>233</v>
      </c>
      <c r="C237" s="185" t="s">
        <v>1</v>
      </c>
      <c r="D237" s="186" t="s">
        <v>59</v>
      </c>
      <c r="E237" s="186" t="s">
        <v>59</v>
      </c>
      <c r="F237" s="187" t="s">
        <v>59</v>
      </c>
      <c r="G237" s="187" t="s">
        <v>59</v>
      </c>
      <c r="H237" s="187"/>
      <c r="I237" s="186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si="89"/>
        <v>Maxence Lacroix (A)</v>
      </c>
    </row>
    <row r="238" spans="1:28" s="113" customFormat="1" ht="10.5" customHeight="1" x14ac:dyDescent="0.2">
      <c r="A238" s="198">
        <v>5</v>
      </c>
      <c r="B238" s="199" t="s">
        <v>592</v>
      </c>
      <c r="C238" s="185" t="s">
        <v>1</v>
      </c>
      <c r="D238" s="186" t="s">
        <v>59</v>
      </c>
      <c r="E238" s="186" t="s">
        <v>59</v>
      </c>
      <c r="F238" s="187" t="s">
        <v>59</v>
      </c>
      <c r="G238" s="187" t="s">
        <v>59</v>
      </c>
      <c r="H238" s="187"/>
      <c r="I238" s="186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>B238</f>
        <v>Cédric Zesiger (A)</v>
      </c>
    </row>
    <row r="239" spans="1:28" s="113" customFormat="1" ht="10.5" customHeight="1" x14ac:dyDescent="0.2">
      <c r="A239" s="198">
        <v>8</v>
      </c>
      <c r="B239" s="199" t="s">
        <v>396</v>
      </c>
      <c r="C239" s="185" t="s">
        <v>1</v>
      </c>
      <c r="D239" s="186" t="s">
        <v>59</v>
      </c>
      <c r="E239" s="186" t="s">
        <v>59</v>
      </c>
      <c r="F239" s="187" t="s">
        <v>59</v>
      </c>
      <c r="G239" s="187" t="s">
        <v>59</v>
      </c>
      <c r="H239" s="187"/>
      <c r="I239" s="186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>B239</f>
        <v>Nicolas Cozza (A)</v>
      </c>
    </row>
    <row r="240" spans="1:28" s="113" customFormat="1" ht="10.5" customHeight="1" x14ac:dyDescent="0.2">
      <c r="A240" s="198">
        <v>13</v>
      </c>
      <c r="B240" s="199" t="s">
        <v>591</v>
      </c>
      <c r="C240" s="185" t="s">
        <v>1</v>
      </c>
      <c r="D240" s="186" t="s">
        <v>59</v>
      </c>
      <c r="E240" s="186" t="s">
        <v>59</v>
      </c>
      <c r="F240" s="187" t="s">
        <v>59</v>
      </c>
      <c r="G240" s="187" t="s">
        <v>59</v>
      </c>
      <c r="H240" s="187"/>
      <c r="I240" s="186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si="89"/>
        <v>Rogério (A)</v>
      </c>
    </row>
    <row r="241" spans="1:28" s="113" customFormat="1" ht="10.5" customHeight="1" x14ac:dyDescent="0.2">
      <c r="A241" s="198">
        <v>21</v>
      </c>
      <c r="B241" s="199" t="s">
        <v>549</v>
      </c>
      <c r="C241" s="185" t="s">
        <v>1</v>
      </c>
      <c r="D241" s="186" t="s">
        <v>59</v>
      </c>
      <c r="E241" s="186" t="s">
        <v>59</v>
      </c>
      <c r="F241" s="187" t="s">
        <v>59</v>
      </c>
      <c r="G241" s="187" t="s">
        <v>59</v>
      </c>
      <c r="H241" s="187"/>
      <c r="I241" s="186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72"/>
      <c r="AB241" s="175" t="str">
        <f t="shared" si="89"/>
        <v>Joakim Maehle (A)</v>
      </c>
    </row>
    <row r="242" spans="1:28" s="113" customFormat="1" ht="10.5" customHeight="1" x14ac:dyDescent="0.2">
      <c r="A242" s="198">
        <v>25</v>
      </c>
      <c r="B242" s="199" t="s">
        <v>444</v>
      </c>
      <c r="C242" s="185" t="s">
        <v>1</v>
      </c>
      <c r="D242" s="186" t="s">
        <v>59</v>
      </c>
      <c r="E242" s="186" t="s">
        <v>59</v>
      </c>
      <c r="F242" s="187" t="s">
        <v>59</v>
      </c>
      <c r="G242" s="187" t="s">
        <v>59</v>
      </c>
      <c r="H242" s="187"/>
      <c r="I242" s="186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72"/>
      <c r="AB242" s="175" t="str">
        <f t="shared" ref="AB242" si="90">B242</f>
        <v>Moritz Jenz (A)</v>
      </c>
    </row>
    <row r="243" spans="1:28" s="113" customFormat="1" ht="10.5" customHeight="1" x14ac:dyDescent="0.2">
      <c r="A243" s="200">
        <v>6</v>
      </c>
      <c r="B243" s="190" t="s">
        <v>445</v>
      </c>
      <c r="C243" s="190" t="s">
        <v>2</v>
      </c>
      <c r="D243" s="191" t="s">
        <v>59</v>
      </c>
      <c r="E243" s="191" t="s">
        <v>59</v>
      </c>
      <c r="F243" s="192" t="s">
        <v>59</v>
      </c>
      <c r="G243" s="192" t="s">
        <v>59</v>
      </c>
      <c r="H243" s="192"/>
      <c r="I243" s="191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72"/>
      <c r="AB243" s="175" t="str">
        <f t="shared" ref="AB243:AB252" si="91">B243</f>
        <v>Aster Vranckx (A)</v>
      </c>
    </row>
    <row r="244" spans="1:28" s="113" customFormat="1" ht="10.5" customHeight="1" x14ac:dyDescent="0.2">
      <c r="A244" s="200">
        <v>7</v>
      </c>
      <c r="B244" s="190" t="s">
        <v>590</v>
      </c>
      <c r="C244" s="190" t="s">
        <v>2</v>
      </c>
      <c r="D244" s="191" t="s">
        <v>59</v>
      </c>
      <c r="E244" s="191" t="s">
        <v>59</v>
      </c>
      <c r="F244" s="192" t="s">
        <v>59</v>
      </c>
      <c r="G244" s="192" t="s">
        <v>59</v>
      </c>
      <c r="H244" s="192"/>
      <c r="I244" s="191"/>
      <c r="J244" s="181"/>
      <c r="K244" s="182"/>
      <c r="L244" s="182"/>
      <c r="M244" s="182"/>
      <c r="N244" s="182"/>
      <c r="O244" s="182"/>
      <c r="P244" s="182"/>
      <c r="Q244" s="182">
        <v>8</v>
      </c>
      <c r="R244" s="182"/>
      <c r="S244" s="182"/>
      <c r="T244" s="182"/>
      <c r="U244" s="182"/>
      <c r="V244" s="182"/>
      <c r="W244" s="182"/>
      <c r="X244" s="182"/>
      <c r="Y244" s="182"/>
      <c r="Z244" s="172"/>
      <c r="AB244" s="175" t="str">
        <f t="shared" ref="AB244:AB250" si="92">B244</f>
        <v>Václav Černý (A)</v>
      </c>
    </row>
    <row r="245" spans="1:28" s="113" customFormat="1" ht="10.5" customHeight="1" x14ac:dyDescent="0.2">
      <c r="A245" s="200">
        <v>16</v>
      </c>
      <c r="B245" s="190" t="s">
        <v>352</v>
      </c>
      <c r="C245" s="190" t="s">
        <v>2</v>
      </c>
      <c r="D245" s="191" t="s">
        <v>59</v>
      </c>
      <c r="E245" s="191" t="s">
        <v>59</v>
      </c>
      <c r="F245" s="192" t="s">
        <v>59</v>
      </c>
      <c r="G245" s="192" t="s">
        <v>59</v>
      </c>
      <c r="H245" s="192"/>
      <c r="I245" s="191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72"/>
      <c r="AB245" s="175" t="str">
        <f t="shared" si="92"/>
        <v>Jakub Kaminski (A)</v>
      </c>
    </row>
    <row r="246" spans="1:28" s="113" customFormat="1" ht="10.5" customHeight="1" x14ac:dyDescent="0.2">
      <c r="A246" s="200">
        <v>19</v>
      </c>
      <c r="B246" s="190" t="s">
        <v>563</v>
      </c>
      <c r="C246" s="190" t="s">
        <v>2</v>
      </c>
      <c r="D246" s="191" t="s">
        <v>59</v>
      </c>
      <c r="E246" s="191" t="s">
        <v>59</v>
      </c>
      <c r="F246" s="192" t="s">
        <v>59</v>
      </c>
      <c r="G246" s="192" t="s">
        <v>59</v>
      </c>
      <c r="H246" s="192"/>
      <c r="I246" s="191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72"/>
      <c r="AB246" s="175" t="str">
        <f t="shared" ref="AB246" si="93">B246</f>
        <v>Lovro Majer (A)</v>
      </c>
    </row>
    <row r="247" spans="1:28" s="113" customFormat="1" ht="10.5" customHeight="1" x14ac:dyDescent="0.2">
      <c r="A247" s="200">
        <v>20</v>
      </c>
      <c r="B247" s="190" t="s">
        <v>195</v>
      </c>
      <c r="C247" s="190" t="s">
        <v>2</v>
      </c>
      <c r="D247" s="191" t="s">
        <v>59</v>
      </c>
      <c r="E247" s="191" t="s">
        <v>59</v>
      </c>
      <c r="F247" s="192" t="s">
        <v>59</v>
      </c>
      <c r="G247" s="192" t="s">
        <v>59</v>
      </c>
      <c r="H247" s="192"/>
      <c r="I247" s="191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72"/>
      <c r="AB247" s="175" t="str">
        <f t="shared" si="92"/>
        <v>Ridle Baku</v>
      </c>
    </row>
    <row r="248" spans="1:28" s="113" customFormat="1" ht="10.5" customHeight="1" x14ac:dyDescent="0.2">
      <c r="A248" s="200">
        <v>27</v>
      </c>
      <c r="B248" s="190" t="s">
        <v>108</v>
      </c>
      <c r="C248" s="190" t="s">
        <v>2</v>
      </c>
      <c r="D248" s="191" t="s">
        <v>59</v>
      </c>
      <c r="E248" s="191" t="s">
        <v>59</v>
      </c>
      <c r="F248" s="192" t="s">
        <v>59</v>
      </c>
      <c r="G248" s="192" t="s">
        <v>59</v>
      </c>
      <c r="H248" s="192"/>
      <c r="I248" s="191"/>
      <c r="J248" s="181"/>
      <c r="K248" s="182"/>
      <c r="L248" s="182"/>
      <c r="M248" s="182"/>
      <c r="N248" s="182"/>
      <c r="O248" s="182"/>
      <c r="P248" s="182"/>
      <c r="Q248" s="182"/>
      <c r="R248" s="182">
        <v>7</v>
      </c>
      <c r="S248" s="182"/>
      <c r="T248" s="182"/>
      <c r="U248" s="182"/>
      <c r="V248" s="182"/>
      <c r="W248" s="182"/>
      <c r="X248" s="182"/>
      <c r="Y248" s="182"/>
      <c r="Z248" s="172"/>
      <c r="AB248" s="175" t="str">
        <f t="shared" si="92"/>
        <v>Maximilian Arnold</v>
      </c>
    </row>
    <row r="249" spans="1:28" s="113" customFormat="1" ht="10.5" customHeight="1" x14ac:dyDescent="0.2">
      <c r="A249" s="200">
        <v>31</v>
      </c>
      <c r="B249" s="190" t="s">
        <v>172</v>
      </c>
      <c r="C249" s="190" t="s">
        <v>2</v>
      </c>
      <c r="D249" s="191" t="s">
        <v>59</v>
      </c>
      <c r="E249" s="191" t="s">
        <v>59</v>
      </c>
      <c r="F249" s="192" t="s">
        <v>59</v>
      </c>
      <c r="G249" s="192" t="s">
        <v>59</v>
      </c>
      <c r="H249" s="192"/>
      <c r="I249" s="191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72"/>
      <c r="AB249" s="175" t="str">
        <f t="shared" si="92"/>
        <v>Yannick Gerhardt</v>
      </c>
    </row>
    <row r="250" spans="1:28" s="113" customFormat="1" ht="10.5" customHeight="1" x14ac:dyDescent="0.2">
      <c r="A250" s="200">
        <v>32</v>
      </c>
      <c r="B250" s="190" t="s">
        <v>353</v>
      </c>
      <c r="C250" s="190" t="s">
        <v>2</v>
      </c>
      <c r="D250" s="191" t="s">
        <v>59</v>
      </c>
      <c r="E250" s="191" t="s">
        <v>59</v>
      </c>
      <c r="F250" s="192" t="s">
        <v>59</v>
      </c>
      <c r="G250" s="192" t="s">
        <v>59</v>
      </c>
      <c r="H250" s="192"/>
      <c r="I250" s="191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72"/>
      <c r="AB250" s="175" t="str">
        <f t="shared" si="92"/>
        <v>Mattias Svanberg (A)</v>
      </c>
    </row>
    <row r="251" spans="1:28" s="113" customFormat="1" ht="10.5" customHeight="1" x14ac:dyDescent="0.2">
      <c r="A251" s="200">
        <v>39</v>
      </c>
      <c r="B251" s="190" t="s">
        <v>292</v>
      </c>
      <c r="C251" s="190" t="s">
        <v>2</v>
      </c>
      <c r="D251" s="191" t="s">
        <v>59</v>
      </c>
      <c r="E251" s="191" t="s">
        <v>59</v>
      </c>
      <c r="F251" s="192" t="s">
        <v>59</v>
      </c>
      <c r="G251" s="192" t="s">
        <v>59</v>
      </c>
      <c r="H251" s="192"/>
      <c r="I251" s="191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72"/>
      <c r="AB251" s="175" t="str">
        <f t="shared" si="91"/>
        <v>Patrick Wimmer (A)</v>
      </c>
    </row>
    <row r="252" spans="1:28" s="113" customFormat="1" ht="10.5" customHeight="1" x14ac:dyDescent="0.2">
      <c r="A252" s="200">
        <v>40</v>
      </c>
      <c r="B252" s="190" t="s">
        <v>315</v>
      </c>
      <c r="C252" s="190" t="s">
        <v>2</v>
      </c>
      <c r="D252" s="191" t="s">
        <v>59</v>
      </c>
      <c r="E252" s="191" t="s">
        <v>59</v>
      </c>
      <c r="F252" s="192" t="s">
        <v>59</v>
      </c>
      <c r="G252" s="192" t="s">
        <v>59</v>
      </c>
      <c r="H252" s="192"/>
      <c r="I252" s="191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72"/>
      <c r="AB252" s="175" t="str">
        <f t="shared" si="91"/>
        <v>Kevin Paredes (A)</v>
      </c>
    </row>
    <row r="253" spans="1:28" s="113" customFormat="1" ht="10.5" customHeight="1" x14ac:dyDescent="0.2">
      <c r="A253" s="200">
        <v>41</v>
      </c>
      <c r="B253" s="190" t="s">
        <v>643</v>
      </c>
      <c r="C253" s="190" t="s">
        <v>2</v>
      </c>
      <c r="D253" s="191" t="s">
        <v>59</v>
      </c>
      <c r="E253" s="191" t="s">
        <v>59</v>
      </c>
      <c r="F253" s="192" t="s">
        <v>59</v>
      </c>
      <c r="G253" s="192" t="s">
        <v>59</v>
      </c>
      <c r="H253" s="192"/>
      <c r="I253" s="191"/>
      <c r="J253" s="181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72"/>
      <c r="AB253" s="175" t="str">
        <f t="shared" ref="AB253:AB254" si="94">B253</f>
        <v>Kofi Amoako</v>
      </c>
    </row>
    <row r="254" spans="1:28" s="113" customFormat="1" ht="10.5" customHeight="1" x14ac:dyDescent="0.2">
      <c r="A254" s="201">
        <v>9</v>
      </c>
      <c r="B254" s="195" t="s">
        <v>617</v>
      </c>
      <c r="C254" s="195" t="s">
        <v>3</v>
      </c>
      <c r="D254" s="196" t="s">
        <v>59</v>
      </c>
      <c r="E254" s="196" t="s">
        <v>59</v>
      </c>
      <c r="F254" s="197" t="s">
        <v>59</v>
      </c>
      <c r="G254" s="197" t="s">
        <v>59</v>
      </c>
      <c r="H254" s="197"/>
      <c r="I254" s="196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72"/>
      <c r="AB254" s="175" t="str">
        <f t="shared" si="94"/>
        <v>Amin Sarr (A)</v>
      </c>
    </row>
    <row r="255" spans="1:28" s="113" customFormat="1" ht="10.5" customHeight="1" x14ac:dyDescent="0.2">
      <c r="A255" s="201">
        <v>10</v>
      </c>
      <c r="B255" s="195" t="s">
        <v>271</v>
      </c>
      <c r="C255" s="195" t="s">
        <v>3</v>
      </c>
      <c r="D255" s="196" t="s">
        <v>59</v>
      </c>
      <c r="E255" s="196" t="s">
        <v>59</v>
      </c>
      <c r="F255" s="197" t="s">
        <v>59</v>
      </c>
      <c r="G255" s="197" t="s">
        <v>59</v>
      </c>
      <c r="H255" s="197"/>
      <c r="I255" s="196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72"/>
      <c r="AB255" s="175" t="str">
        <f t="shared" ref="AB255" si="95">B255</f>
        <v>Lukas Nmecha</v>
      </c>
    </row>
    <row r="256" spans="1:28" s="113" customFormat="1" ht="10.5" customHeight="1" x14ac:dyDescent="0.2">
      <c r="A256" s="201">
        <v>11</v>
      </c>
      <c r="B256" s="195" t="s">
        <v>589</v>
      </c>
      <c r="C256" s="195" t="s">
        <v>3</v>
      </c>
      <c r="D256" s="196" t="s">
        <v>59</v>
      </c>
      <c r="E256" s="196" t="s">
        <v>59</v>
      </c>
      <c r="F256" s="197" t="s">
        <v>59</v>
      </c>
      <c r="G256" s="197" t="s">
        <v>59</v>
      </c>
      <c r="H256" s="197"/>
      <c r="I256" s="196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72"/>
      <c r="AB256" s="175" t="str">
        <f t="shared" ref="AB256:AB257" si="96">B256</f>
        <v>Tiago Tomás (A)</v>
      </c>
    </row>
    <row r="257" spans="1:28" s="113" customFormat="1" ht="10.5" customHeight="1" x14ac:dyDescent="0.2">
      <c r="A257" s="201">
        <v>18</v>
      </c>
      <c r="B257" s="195" t="s">
        <v>588</v>
      </c>
      <c r="C257" s="195" t="s">
        <v>3</v>
      </c>
      <c r="D257" s="196" t="s">
        <v>59</v>
      </c>
      <c r="E257" s="196" t="s">
        <v>59</v>
      </c>
      <c r="F257" s="197" t="s">
        <v>59</v>
      </c>
      <c r="G257" s="197" t="s">
        <v>59</v>
      </c>
      <c r="H257" s="197"/>
      <c r="I257" s="196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72"/>
      <c r="AB257" s="175" t="str">
        <f t="shared" si="96"/>
        <v>Dženan Pejčinović</v>
      </c>
    </row>
    <row r="258" spans="1:28" s="113" customFormat="1" ht="10.5" customHeight="1" x14ac:dyDescent="0.2">
      <c r="A258" s="201">
        <v>23</v>
      </c>
      <c r="B258" s="195" t="s">
        <v>316</v>
      </c>
      <c r="C258" s="195" t="s">
        <v>3</v>
      </c>
      <c r="D258" s="196" t="s">
        <v>59</v>
      </c>
      <c r="E258" s="196" t="s">
        <v>59</v>
      </c>
      <c r="F258" s="197" t="s">
        <v>59</v>
      </c>
      <c r="G258" s="197" t="s">
        <v>59</v>
      </c>
      <c r="H258" s="197"/>
      <c r="I258" s="196"/>
      <c r="J258" s="181"/>
      <c r="K258" s="182"/>
      <c r="L258" s="182"/>
      <c r="M258" s="182"/>
      <c r="N258" s="182"/>
      <c r="O258" s="182">
        <v>9</v>
      </c>
      <c r="P258" s="182"/>
      <c r="Q258" s="182">
        <v>9</v>
      </c>
      <c r="R258" s="182"/>
      <c r="S258" s="182"/>
      <c r="T258" s="182"/>
      <c r="U258" s="182"/>
      <c r="V258" s="182"/>
      <c r="W258" s="182"/>
      <c r="X258" s="182"/>
      <c r="Y258" s="182"/>
      <c r="Z258" s="172"/>
      <c r="AB258" s="175" t="str">
        <f t="shared" ref="AB258" si="97">B258</f>
        <v>Jonas Wind (A)</v>
      </c>
    </row>
    <row r="259" spans="1:28" ht="15" customHeight="1" thickBot="1" x14ac:dyDescent="0.25">
      <c r="A259" s="219" t="s">
        <v>114</v>
      </c>
      <c r="B259" s="219"/>
      <c r="C259" s="219"/>
      <c r="D259" s="219"/>
      <c r="E259" s="219"/>
      <c r="F259" s="219"/>
      <c r="G259" s="219"/>
      <c r="H259" s="219"/>
      <c r="I259" s="219"/>
      <c r="J259" s="10"/>
      <c r="K259" s="176">
        <v>12</v>
      </c>
      <c r="L259" s="176">
        <v>12</v>
      </c>
      <c r="M259" s="176">
        <v>12</v>
      </c>
      <c r="N259" s="176">
        <v>12</v>
      </c>
      <c r="O259" s="176">
        <v>12</v>
      </c>
      <c r="P259" s="176">
        <v>12</v>
      </c>
      <c r="Q259" s="176">
        <v>12</v>
      </c>
      <c r="R259" s="176">
        <v>12</v>
      </c>
      <c r="S259" s="176">
        <v>12</v>
      </c>
      <c r="T259" s="176">
        <v>12</v>
      </c>
      <c r="U259" s="176">
        <v>12</v>
      </c>
      <c r="V259" s="176">
        <v>12</v>
      </c>
      <c r="W259" s="176">
        <v>12</v>
      </c>
      <c r="X259" s="176">
        <v>12</v>
      </c>
      <c r="Y259" s="176">
        <v>12</v>
      </c>
      <c r="Z259" s="217"/>
      <c r="AB259" s="175" t="str">
        <f>A259</f>
        <v>1. FSV Mainz</v>
      </c>
    </row>
    <row r="260" spans="1:28" ht="10.5" customHeight="1" x14ac:dyDescent="0.2">
      <c r="A260" s="177">
        <v>1</v>
      </c>
      <c r="B260" s="178" t="s">
        <v>286</v>
      </c>
      <c r="C260" s="178" t="s">
        <v>0</v>
      </c>
      <c r="D260" s="179" t="s">
        <v>59</v>
      </c>
      <c r="E260" s="179" t="s">
        <v>59</v>
      </c>
      <c r="F260" s="180" t="s">
        <v>59</v>
      </c>
      <c r="G260" s="180" t="s">
        <v>59</v>
      </c>
      <c r="H260" s="180"/>
      <c r="I260" s="179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ref="AB260" si="98">B260</f>
        <v>Lasse Riess</v>
      </c>
    </row>
    <row r="261" spans="1:28" ht="10.5" customHeight="1" x14ac:dyDescent="0.2">
      <c r="A261" s="177">
        <v>27</v>
      </c>
      <c r="B261" s="178" t="s">
        <v>167</v>
      </c>
      <c r="C261" s="178" t="s">
        <v>0</v>
      </c>
      <c r="D261" s="179" t="s">
        <v>59</v>
      </c>
      <c r="E261" s="179" t="s">
        <v>59</v>
      </c>
      <c r="F261" s="180" t="s">
        <v>59</v>
      </c>
      <c r="G261" s="180" t="s">
        <v>59</v>
      </c>
      <c r="H261" s="180"/>
      <c r="I261" s="179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ref="AB261:AB263" si="99">B261</f>
        <v>Robin Zentner</v>
      </c>
    </row>
    <row r="262" spans="1:28" ht="10.5" customHeight="1" x14ac:dyDescent="0.2">
      <c r="A262" s="177">
        <v>33</v>
      </c>
      <c r="B262" s="178" t="s">
        <v>446</v>
      </c>
      <c r="C262" s="178" t="s">
        <v>0</v>
      </c>
      <c r="D262" s="179" t="s">
        <v>59</v>
      </c>
      <c r="E262" s="179" t="s">
        <v>59</v>
      </c>
      <c r="F262" s="180" t="s">
        <v>59</v>
      </c>
      <c r="G262" s="180" t="s">
        <v>59</v>
      </c>
      <c r="H262" s="180"/>
      <c r="I262" s="179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9"/>
        <v>Daniel Batz</v>
      </c>
    </row>
    <row r="263" spans="1:28" ht="10.5" customHeight="1" x14ac:dyDescent="0.2">
      <c r="A263" s="198">
        <v>2</v>
      </c>
      <c r="B263" s="199" t="s">
        <v>607</v>
      </c>
      <c r="C263" s="185" t="s">
        <v>1</v>
      </c>
      <c r="D263" s="186" t="s">
        <v>59</v>
      </c>
      <c r="E263" s="186" t="s">
        <v>59</v>
      </c>
      <c r="F263" s="187" t="s">
        <v>59</v>
      </c>
      <c r="G263" s="187" t="s">
        <v>59</v>
      </c>
      <c r="H263" s="187"/>
      <c r="I263" s="18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si="99"/>
        <v>Philipp Mwene (A)</v>
      </c>
    </row>
    <row r="264" spans="1:28" ht="10.5" customHeight="1" x14ac:dyDescent="0.2">
      <c r="A264" s="198">
        <v>3</v>
      </c>
      <c r="B264" s="199" t="s">
        <v>380</v>
      </c>
      <c r="C264" s="185" t="s">
        <v>1</v>
      </c>
      <c r="D264" s="186" t="s">
        <v>59</v>
      </c>
      <c r="E264" s="186" t="s">
        <v>59</v>
      </c>
      <c r="F264" s="187" t="s">
        <v>59</v>
      </c>
      <c r="G264" s="187" t="s">
        <v>59</v>
      </c>
      <c r="H264" s="187"/>
      <c r="I264" s="18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ref="AB264" si="100">B264</f>
        <v>Sepp van den Berg (A)</v>
      </c>
    </row>
    <row r="265" spans="1:28" ht="10.5" customHeight="1" x14ac:dyDescent="0.2">
      <c r="A265" s="198">
        <v>5</v>
      </c>
      <c r="B265" s="199" t="s">
        <v>303</v>
      </c>
      <c r="C265" s="185" t="s">
        <v>1</v>
      </c>
      <c r="D265" s="186" t="s">
        <v>59</v>
      </c>
      <c r="E265" s="186" t="s">
        <v>59</v>
      </c>
      <c r="F265" s="187" t="s">
        <v>59</v>
      </c>
      <c r="G265" s="187" t="s">
        <v>59</v>
      </c>
      <c r="H265" s="187"/>
      <c r="I265" s="18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:AB272" si="101">B265</f>
        <v>Maxim Leitsch</v>
      </c>
    </row>
    <row r="266" spans="1:28" ht="10.5" customHeight="1" x14ac:dyDescent="0.2">
      <c r="A266" s="198">
        <v>16</v>
      </c>
      <c r="B266" s="199" t="s">
        <v>107</v>
      </c>
      <c r="C266" s="185" t="s">
        <v>1</v>
      </c>
      <c r="D266" s="186" t="s">
        <v>59</v>
      </c>
      <c r="E266" s="186" t="s">
        <v>59</v>
      </c>
      <c r="F266" s="187" t="s">
        <v>59</v>
      </c>
      <c r="G266" s="187" t="s">
        <v>59</v>
      </c>
      <c r="H266" s="187"/>
      <c r="I266" s="18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101"/>
        <v>Stefan Bell</v>
      </c>
    </row>
    <row r="267" spans="1:28" ht="10.5" customHeight="1" x14ac:dyDescent="0.2">
      <c r="A267" s="198">
        <v>19</v>
      </c>
      <c r="B267" s="199" t="s">
        <v>343</v>
      </c>
      <c r="C267" s="185" t="s">
        <v>1</v>
      </c>
      <c r="D267" s="186" t="s">
        <v>59</v>
      </c>
      <c r="E267" s="186" t="s">
        <v>59</v>
      </c>
      <c r="F267" s="187" t="s">
        <v>59</v>
      </c>
      <c r="G267" s="187" t="s">
        <v>59</v>
      </c>
      <c r="H267" s="187"/>
      <c r="I267" s="186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si="101"/>
        <v>Anthony Caci (A)</v>
      </c>
    </row>
    <row r="268" spans="1:28" ht="10.5" customHeight="1" x14ac:dyDescent="0.2">
      <c r="A268" s="198">
        <v>20</v>
      </c>
      <c r="B268" s="199" t="s">
        <v>344</v>
      </c>
      <c r="C268" s="185" t="s">
        <v>1</v>
      </c>
      <c r="D268" s="186" t="s">
        <v>59</v>
      </c>
      <c r="E268" s="186" t="s">
        <v>59</v>
      </c>
      <c r="F268" s="187" t="s">
        <v>59</v>
      </c>
      <c r="G268" s="187" t="s">
        <v>59</v>
      </c>
      <c r="H268" s="187"/>
      <c r="I268" s="186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101"/>
        <v>Edimilson Fernandes (A)</v>
      </c>
    </row>
    <row r="269" spans="1:28" ht="10.5" customHeight="1" x14ac:dyDescent="0.2">
      <c r="A269" s="198">
        <v>21</v>
      </c>
      <c r="B269" s="199" t="s">
        <v>127</v>
      </c>
      <c r="C269" s="185" t="s">
        <v>1</v>
      </c>
      <c r="D269" s="186" t="s">
        <v>59</v>
      </c>
      <c r="E269" s="186" t="s">
        <v>59</v>
      </c>
      <c r="F269" s="187" t="s">
        <v>59</v>
      </c>
      <c r="G269" s="187" t="s">
        <v>59</v>
      </c>
      <c r="H269" s="187"/>
      <c r="I269" s="186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ref="AB269" si="102">B269</f>
        <v>Danny da Costa</v>
      </c>
    </row>
    <row r="270" spans="1:28" ht="10.5" customHeight="1" x14ac:dyDescent="0.2">
      <c r="A270" s="198">
        <v>25</v>
      </c>
      <c r="B270" s="199" t="s">
        <v>403</v>
      </c>
      <c r="C270" s="185" t="s">
        <v>1</v>
      </c>
      <c r="D270" s="186" t="s">
        <v>59</v>
      </c>
      <c r="E270" s="186" t="s">
        <v>59</v>
      </c>
      <c r="F270" s="187" t="s">
        <v>59</v>
      </c>
      <c r="G270" s="187" t="s">
        <v>59</v>
      </c>
      <c r="H270" s="187"/>
      <c r="I270" s="186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si="101"/>
        <v>Andreas Hanche-Olsen (A)</v>
      </c>
    </row>
    <row r="271" spans="1:28" ht="10.5" customHeight="1" x14ac:dyDescent="0.2">
      <c r="A271" s="198">
        <v>30</v>
      </c>
      <c r="B271" s="199" t="s">
        <v>287</v>
      </c>
      <c r="C271" s="185" t="s">
        <v>1</v>
      </c>
      <c r="D271" s="186" t="s">
        <v>59</v>
      </c>
      <c r="E271" s="186" t="s">
        <v>59</v>
      </c>
      <c r="F271" s="187" t="s">
        <v>59</v>
      </c>
      <c r="G271" s="187" t="s">
        <v>59</v>
      </c>
      <c r="H271" s="187"/>
      <c r="I271" s="186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" si="103">B271</f>
        <v>Silvan Widmer (A)</v>
      </c>
    </row>
    <row r="272" spans="1:28" ht="10.5" customHeight="1" x14ac:dyDescent="0.2">
      <c r="A272" s="198">
        <v>47</v>
      </c>
      <c r="B272" s="199" t="s">
        <v>644</v>
      </c>
      <c r="C272" s="185" t="s">
        <v>1</v>
      </c>
      <c r="D272" s="186" t="s">
        <v>59</v>
      </c>
      <c r="E272" s="186" t="s">
        <v>59</v>
      </c>
      <c r="F272" s="187" t="s">
        <v>59</v>
      </c>
      <c r="G272" s="187" t="s">
        <v>59</v>
      </c>
      <c r="H272" s="187"/>
      <c r="I272" s="186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1"/>
        <v>Lasse Wilhelm</v>
      </c>
    </row>
    <row r="273" spans="1:28" ht="10.5" customHeight="1" x14ac:dyDescent="0.2">
      <c r="A273" s="200">
        <v>7</v>
      </c>
      <c r="B273" s="190" t="s">
        <v>289</v>
      </c>
      <c r="C273" s="190" t="s">
        <v>2</v>
      </c>
      <c r="D273" s="191" t="s">
        <v>59</v>
      </c>
      <c r="E273" s="191" t="s">
        <v>59</v>
      </c>
      <c r="F273" s="192" t="s">
        <v>59</v>
      </c>
      <c r="G273" s="192" t="s">
        <v>59</v>
      </c>
      <c r="H273" s="192"/>
      <c r="I273" s="191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:AB277" si="104">B273</f>
        <v>Jae-Sung Lee</v>
      </c>
    </row>
    <row r="274" spans="1:28" ht="10.5" customHeight="1" x14ac:dyDescent="0.2">
      <c r="A274" s="200">
        <v>8</v>
      </c>
      <c r="B274" s="190" t="s">
        <v>220</v>
      </c>
      <c r="C274" s="190" t="s">
        <v>2</v>
      </c>
      <c r="D274" s="191" t="s">
        <v>59</v>
      </c>
      <c r="E274" s="191" t="s">
        <v>59</v>
      </c>
      <c r="F274" s="192" t="s">
        <v>59</v>
      </c>
      <c r="G274" s="192" t="s">
        <v>59</v>
      </c>
      <c r="H274" s="192"/>
      <c r="I274" s="191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4"/>
        <v>Leandro Barreiro (A)</v>
      </c>
    </row>
    <row r="275" spans="1:28" ht="10.5" customHeight="1" x14ac:dyDescent="0.2">
      <c r="A275" s="200">
        <v>10</v>
      </c>
      <c r="B275" s="190" t="s">
        <v>570</v>
      </c>
      <c r="C275" s="190" t="s">
        <v>2</v>
      </c>
      <c r="D275" s="191" t="s">
        <v>59</v>
      </c>
      <c r="E275" s="191" t="s">
        <v>59</v>
      </c>
      <c r="F275" s="192" t="s">
        <v>59</v>
      </c>
      <c r="G275" s="192" t="s">
        <v>59</v>
      </c>
      <c r="H275" s="192"/>
      <c r="I275" s="191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ref="AB275" si="105">B275</f>
        <v>Marco Richter</v>
      </c>
    </row>
    <row r="276" spans="1:28" ht="10.5" customHeight="1" x14ac:dyDescent="0.2">
      <c r="A276" s="200">
        <v>14</v>
      </c>
      <c r="B276" s="190" t="s">
        <v>359</v>
      </c>
      <c r="C276" s="190" t="s">
        <v>2</v>
      </c>
      <c r="D276" s="191" t="s">
        <v>59</v>
      </c>
      <c r="E276" s="191" t="s">
        <v>59</v>
      </c>
      <c r="F276" s="192" t="s">
        <v>59</v>
      </c>
      <c r="G276" s="192" t="s">
        <v>59</v>
      </c>
      <c r="H276" s="192"/>
      <c r="I276" s="191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 t="shared" si="104"/>
        <v>Tom Krauss</v>
      </c>
    </row>
    <row r="277" spans="1:28" ht="10.5" customHeight="1" x14ac:dyDescent="0.2">
      <c r="A277" s="200">
        <v>24</v>
      </c>
      <c r="B277" s="190" t="s">
        <v>569</v>
      </c>
      <c r="C277" s="190" t="s">
        <v>2</v>
      </c>
      <c r="D277" s="191" t="s">
        <v>59</v>
      </c>
      <c r="E277" s="191" t="s">
        <v>59</v>
      </c>
      <c r="F277" s="192" t="s">
        <v>59</v>
      </c>
      <c r="G277" s="192" t="s">
        <v>59</v>
      </c>
      <c r="H277" s="192"/>
      <c r="I277" s="191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si="104"/>
        <v>Merveille Papela</v>
      </c>
    </row>
    <row r="278" spans="1:28" ht="10.5" customHeight="1" x14ac:dyDescent="0.2">
      <c r="A278" s="200">
        <v>31</v>
      </c>
      <c r="B278" s="190" t="s">
        <v>110</v>
      </c>
      <c r="C278" s="190" t="s">
        <v>2</v>
      </c>
      <c r="D278" s="191" t="s">
        <v>59</v>
      </c>
      <c r="E278" s="191" t="s">
        <v>59</v>
      </c>
      <c r="F278" s="192" t="s">
        <v>59</v>
      </c>
      <c r="G278" s="192" t="s">
        <v>59</v>
      </c>
      <c r="H278" s="192"/>
      <c r="I278" s="191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ref="AB278:AB280" si="106">B278</f>
        <v>Dominik Kohr</v>
      </c>
    </row>
    <row r="279" spans="1:28" ht="10.5" customHeight="1" x14ac:dyDescent="0.2">
      <c r="A279" s="200">
        <v>41</v>
      </c>
      <c r="B279" s="190" t="s">
        <v>318</v>
      </c>
      <c r="C279" s="190" t="s">
        <v>2</v>
      </c>
      <c r="D279" s="191" t="s">
        <v>59</v>
      </c>
      <c r="E279" s="191" t="s">
        <v>59</v>
      </c>
      <c r="F279" s="192" t="s">
        <v>59</v>
      </c>
      <c r="G279" s="192" t="s">
        <v>59</v>
      </c>
      <c r="H279" s="192"/>
      <c r="I279" s="191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si="106"/>
        <v>Eniss Shabani</v>
      </c>
    </row>
    <row r="280" spans="1:28" ht="10.5" customHeight="1" x14ac:dyDescent="0.2">
      <c r="A280" s="200">
        <v>45</v>
      </c>
      <c r="B280" s="190" t="s">
        <v>552</v>
      </c>
      <c r="C280" s="190" t="s">
        <v>2</v>
      </c>
      <c r="D280" s="191" t="s">
        <v>59</v>
      </c>
      <c r="E280" s="191" t="s">
        <v>59</v>
      </c>
      <c r="F280" s="192" t="s">
        <v>59</v>
      </c>
      <c r="G280" s="192" t="s">
        <v>59</v>
      </c>
      <c r="H280" s="192"/>
      <c r="I280" s="191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6"/>
        <v>David Mamutovic</v>
      </c>
    </row>
    <row r="281" spans="1:28" ht="10.5" customHeight="1" x14ac:dyDescent="0.2">
      <c r="A281" s="201">
        <v>9</v>
      </c>
      <c r="B281" s="195" t="s">
        <v>135</v>
      </c>
      <c r="C281" s="195" t="s">
        <v>3</v>
      </c>
      <c r="D281" s="196" t="s">
        <v>59</v>
      </c>
      <c r="E281" s="196" t="s">
        <v>59</v>
      </c>
      <c r="F281" s="197" t="s">
        <v>59</v>
      </c>
      <c r="G281" s="197" t="s">
        <v>59</v>
      </c>
      <c r="H281" s="197"/>
      <c r="I281" s="19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>B281</f>
        <v>Karim Onisiwo (A)</v>
      </c>
    </row>
    <row r="282" spans="1:28" ht="10.5" customHeight="1" x14ac:dyDescent="0.2">
      <c r="A282" s="201">
        <v>17</v>
      </c>
      <c r="B282" s="195" t="s">
        <v>395</v>
      </c>
      <c r="C282" s="195" t="s">
        <v>3</v>
      </c>
      <c r="D282" s="196" t="s">
        <v>59</v>
      </c>
      <c r="E282" s="196" t="s">
        <v>59</v>
      </c>
      <c r="F282" s="197" t="s">
        <v>59</v>
      </c>
      <c r="G282" s="197" t="s">
        <v>59</v>
      </c>
      <c r="H282" s="197"/>
      <c r="I282" s="19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ref="AB282:AB287" si="107">B282</f>
        <v>Ludovic Ajorque (A)</v>
      </c>
    </row>
    <row r="283" spans="1:28" ht="10.5" customHeight="1" x14ac:dyDescent="0.2">
      <c r="A283" s="201">
        <v>29</v>
      </c>
      <c r="B283" s="195" t="s">
        <v>196</v>
      </c>
      <c r="C283" s="195" t="s">
        <v>3</v>
      </c>
      <c r="D283" s="196" t="s">
        <v>59</v>
      </c>
      <c r="E283" s="196" t="s">
        <v>59</v>
      </c>
      <c r="F283" s="197" t="s">
        <v>59</v>
      </c>
      <c r="G283" s="197" t="s">
        <v>59</v>
      </c>
      <c r="H283" s="197"/>
      <c r="I283" s="19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ref="AB283:AB284" si="108">B283</f>
        <v>Jonathan Burkardt</v>
      </c>
    </row>
    <row r="284" spans="1:28" ht="10.5" customHeight="1" x14ac:dyDescent="0.2">
      <c r="A284" s="201">
        <v>34</v>
      </c>
      <c r="B284" s="195" t="s">
        <v>623</v>
      </c>
      <c r="C284" s="195" t="s">
        <v>3</v>
      </c>
      <c r="D284" s="196" t="s">
        <v>59</v>
      </c>
      <c r="E284" s="196" t="s">
        <v>59</v>
      </c>
      <c r="F284" s="197" t="s">
        <v>59</v>
      </c>
      <c r="G284" s="197" t="s">
        <v>59</v>
      </c>
      <c r="H284" s="197"/>
      <c r="I284" s="196"/>
      <c r="J284" s="181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B284" s="175" t="str">
        <f t="shared" si="108"/>
        <v>Anwar El Ghazi (A)</v>
      </c>
    </row>
    <row r="285" spans="1:28" ht="10.5" customHeight="1" x14ac:dyDescent="0.2">
      <c r="A285" s="201">
        <v>43</v>
      </c>
      <c r="B285" s="195" t="s">
        <v>398</v>
      </c>
      <c r="C285" s="195" t="s">
        <v>3</v>
      </c>
      <c r="D285" s="196" t="s">
        <v>59</v>
      </c>
      <c r="E285" s="196" t="s">
        <v>59</v>
      </c>
      <c r="F285" s="197" t="s">
        <v>59</v>
      </c>
      <c r="G285" s="197" t="s">
        <v>59</v>
      </c>
      <c r="H285" s="197"/>
      <c r="I285" s="196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si="107"/>
        <v>Brajan Gruda</v>
      </c>
    </row>
    <row r="286" spans="1:28" ht="10.5" customHeight="1" x14ac:dyDescent="0.2">
      <c r="A286" s="201">
        <v>44</v>
      </c>
      <c r="B286" s="195" t="s">
        <v>384</v>
      </c>
      <c r="C286" s="195" t="s">
        <v>3</v>
      </c>
      <c r="D286" s="196" t="s">
        <v>59</v>
      </c>
      <c r="E286" s="196" t="s">
        <v>59</v>
      </c>
      <c r="F286" s="197" t="s">
        <v>59</v>
      </c>
      <c r="G286" s="197" t="s">
        <v>59</v>
      </c>
      <c r="H286" s="197"/>
      <c r="I286" s="196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ref="AB286" si="109">B286</f>
        <v>Nelson Weiper</v>
      </c>
    </row>
    <row r="287" spans="1:28" ht="10.5" customHeight="1" x14ac:dyDescent="0.2">
      <c r="A287" s="201">
        <v>48</v>
      </c>
      <c r="B287" s="195" t="s">
        <v>645</v>
      </c>
      <c r="C287" s="195" t="s">
        <v>3</v>
      </c>
      <c r="D287" s="196" t="s">
        <v>59</v>
      </c>
      <c r="E287" s="196" t="s">
        <v>59</v>
      </c>
      <c r="F287" s="197" t="s">
        <v>59</v>
      </c>
      <c r="G287" s="197" t="s">
        <v>59</v>
      </c>
      <c r="H287" s="197"/>
      <c r="I287" s="196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07"/>
        <v>Marcel Müller</v>
      </c>
    </row>
    <row r="288" spans="1:28" ht="15" customHeight="1" thickBot="1" x14ac:dyDescent="0.25">
      <c r="A288" s="220" t="s">
        <v>69</v>
      </c>
      <c r="B288" s="220"/>
      <c r="C288" s="220"/>
      <c r="D288" s="220"/>
      <c r="E288" s="220"/>
      <c r="F288" s="220"/>
      <c r="G288" s="220"/>
      <c r="H288" s="220"/>
      <c r="I288" s="220"/>
      <c r="J288" s="10"/>
      <c r="K288" s="176">
        <v>12</v>
      </c>
      <c r="L288" s="176">
        <v>12</v>
      </c>
      <c r="M288" s="176">
        <v>12</v>
      </c>
      <c r="N288" s="176">
        <v>12</v>
      </c>
      <c r="O288" s="176">
        <v>12</v>
      </c>
      <c r="P288" s="176">
        <v>12</v>
      </c>
      <c r="Q288" s="176">
        <v>12</v>
      </c>
      <c r="R288" s="176">
        <v>12</v>
      </c>
      <c r="S288" s="176">
        <v>12</v>
      </c>
      <c r="T288" s="176">
        <v>12</v>
      </c>
      <c r="U288" s="176"/>
      <c r="V288" s="176">
        <v>12</v>
      </c>
      <c r="W288" s="176">
        <v>12</v>
      </c>
      <c r="X288" s="176">
        <v>12</v>
      </c>
      <c r="Y288" s="176">
        <v>12</v>
      </c>
      <c r="Z288" s="217"/>
      <c r="AB288" s="175" t="str">
        <f>A288</f>
        <v>Bor. M'gladbach</v>
      </c>
    </row>
    <row r="289" spans="1:28" ht="10.5" customHeight="1" x14ac:dyDescent="0.2">
      <c r="A289" s="177">
        <v>1</v>
      </c>
      <c r="B289" s="178" t="s">
        <v>391</v>
      </c>
      <c r="C289" s="178" t="s">
        <v>0</v>
      </c>
      <c r="D289" s="179" t="s">
        <v>59</v>
      </c>
      <c r="E289" s="179" t="s">
        <v>59</v>
      </c>
      <c r="F289" s="180" t="s">
        <v>59</v>
      </c>
      <c r="G289" s="180" t="s">
        <v>59</v>
      </c>
      <c r="H289" s="180"/>
      <c r="I289" s="179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ref="AB289:AB306" si="110">B289</f>
        <v>Jonas Omlin (A)</v>
      </c>
    </row>
    <row r="290" spans="1:28" ht="10.5" customHeight="1" x14ac:dyDescent="0.2">
      <c r="A290" s="177">
        <v>21</v>
      </c>
      <c r="B290" s="178" t="s">
        <v>124</v>
      </c>
      <c r="C290" s="178" t="s">
        <v>0</v>
      </c>
      <c r="D290" s="179" t="s">
        <v>59</v>
      </c>
      <c r="E290" s="179" t="s">
        <v>59</v>
      </c>
      <c r="F290" s="180" t="s">
        <v>59</v>
      </c>
      <c r="G290" s="180" t="s">
        <v>59</v>
      </c>
      <c r="H290" s="180"/>
      <c r="I290" s="179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ref="AB290:AB293" si="111">B290</f>
        <v>Tobias Sippel</v>
      </c>
    </row>
    <row r="291" spans="1:28" ht="10.5" customHeight="1" x14ac:dyDescent="0.2">
      <c r="A291" s="177">
        <v>33</v>
      </c>
      <c r="B291" s="178" t="s">
        <v>447</v>
      </c>
      <c r="C291" s="178" t="s">
        <v>0</v>
      </c>
      <c r="D291" s="179" t="s">
        <v>59</v>
      </c>
      <c r="E291" s="179" t="s">
        <v>59</v>
      </c>
      <c r="F291" s="180" t="s">
        <v>59</v>
      </c>
      <c r="G291" s="180" t="s">
        <v>59</v>
      </c>
      <c r="H291" s="180"/>
      <c r="I291" s="179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11"/>
        <v>Moritz Nicolas</v>
      </c>
    </row>
    <row r="292" spans="1:28" ht="10.5" customHeight="1" x14ac:dyDescent="0.2">
      <c r="A292" s="177">
        <v>41</v>
      </c>
      <c r="B292" s="178" t="s">
        <v>231</v>
      </c>
      <c r="C292" s="178" t="s">
        <v>0</v>
      </c>
      <c r="D292" s="179" t="s">
        <v>59</v>
      </c>
      <c r="E292" s="179" t="s">
        <v>59</v>
      </c>
      <c r="F292" s="180" t="s">
        <v>59</v>
      </c>
      <c r="G292" s="180" t="s">
        <v>59</v>
      </c>
      <c r="H292" s="180"/>
      <c r="I292" s="179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ref="AB292" si="112">B292</f>
        <v>Jan Olschowsky</v>
      </c>
    </row>
    <row r="293" spans="1:28" ht="10.5" customHeight="1" x14ac:dyDescent="0.2">
      <c r="A293" s="177">
        <v>43</v>
      </c>
      <c r="B293" s="178" t="s">
        <v>448</v>
      </c>
      <c r="C293" s="178" t="s">
        <v>0</v>
      </c>
      <c r="D293" s="179" t="s">
        <v>59</v>
      </c>
      <c r="E293" s="179" t="s">
        <v>59</v>
      </c>
      <c r="F293" s="180" t="s">
        <v>59</v>
      </c>
      <c r="G293" s="180" t="s">
        <v>59</v>
      </c>
      <c r="H293" s="180"/>
      <c r="I293" s="179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si="111"/>
        <v>Max Brüll</v>
      </c>
    </row>
    <row r="294" spans="1:28" ht="10.5" customHeight="1" x14ac:dyDescent="0.2">
      <c r="A294" s="198">
        <v>2</v>
      </c>
      <c r="B294" s="199" t="s">
        <v>369</v>
      </c>
      <c r="C294" s="185" t="s">
        <v>1</v>
      </c>
      <c r="D294" s="186" t="s">
        <v>59</v>
      </c>
      <c r="E294" s="186" t="s">
        <v>59</v>
      </c>
      <c r="F294" s="187" t="s">
        <v>59</v>
      </c>
      <c r="G294" s="187" t="s">
        <v>59</v>
      </c>
      <c r="H294" s="187"/>
      <c r="I294" s="186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ref="AB294:AB299" si="113">B294</f>
        <v>Fabio Chiarodia</v>
      </c>
    </row>
    <row r="295" spans="1:28" ht="10.5" customHeight="1" x14ac:dyDescent="0.2">
      <c r="A295" s="198">
        <v>3</v>
      </c>
      <c r="B295" s="199" t="s">
        <v>347</v>
      </c>
      <c r="C295" s="185" t="s">
        <v>1</v>
      </c>
      <c r="D295" s="186" t="s">
        <v>59</v>
      </c>
      <c r="E295" s="186" t="s">
        <v>59</v>
      </c>
      <c r="F295" s="187" t="s">
        <v>59</v>
      </c>
      <c r="G295" s="187" t="s">
        <v>59</v>
      </c>
      <c r="H295" s="187"/>
      <c r="I295" s="18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 t="shared" si="113"/>
        <v>Ko Itakura (A)</v>
      </c>
    </row>
    <row r="296" spans="1:28" ht="10.5" customHeight="1" x14ac:dyDescent="0.2">
      <c r="A296" s="198">
        <v>5</v>
      </c>
      <c r="B296" s="199" t="s">
        <v>207</v>
      </c>
      <c r="C296" s="185" t="s">
        <v>1</v>
      </c>
      <c r="D296" s="186" t="s">
        <v>59</v>
      </c>
      <c r="E296" s="186" t="s">
        <v>59</v>
      </c>
      <c r="F296" s="187" t="s">
        <v>59</v>
      </c>
      <c r="G296" s="187" t="s">
        <v>59</v>
      </c>
      <c r="H296" s="187"/>
      <c r="I296" s="18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si="113"/>
        <v>Marvin Friedrich</v>
      </c>
    </row>
    <row r="297" spans="1:28" ht="10.5" customHeight="1" x14ac:dyDescent="0.2">
      <c r="A297" s="198">
        <v>18</v>
      </c>
      <c r="B297" s="199" t="s">
        <v>186</v>
      </c>
      <c r="C297" s="185" t="s">
        <v>1</v>
      </c>
      <c r="D297" s="186" t="s">
        <v>59</v>
      </c>
      <c r="E297" s="186" t="s">
        <v>59</v>
      </c>
      <c r="F297" s="187" t="s">
        <v>59</v>
      </c>
      <c r="G297" s="187" t="s">
        <v>59</v>
      </c>
      <c r="H297" s="187"/>
      <c r="I297" s="18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si="113"/>
        <v>Stefan Lainer (A)</v>
      </c>
    </row>
    <row r="298" spans="1:28" ht="10.5" customHeight="1" x14ac:dyDescent="0.2">
      <c r="A298" s="198">
        <v>20</v>
      </c>
      <c r="B298" s="199" t="s">
        <v>224</v>
      </c>
      <c r="C298" s="185" t="s">
        <v>1</v>
      </c>
      <c r="D298" s="186" t="s">
        <v>59</v>
      </c>
      <c r="E298" s="186" t="s">
        <v>59</v>
      </c>
      <c r="F298" s="187" t="s">
        <v>59</v>
      </c>
      <c r="G298" s="187" t="s">
        <v>59</v>
      </c>
      <c r="H298" s="187"/>
      <c r="I298" s="18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si="113"/>
        <v>Luca Netz</v>
      </c>
    </row>
    <row r="299" spans="1:28" ht="10.5" customHeight="1" x14ac:dyDescent="0.2">
      <c r="A299" s="198">
        <v>24</v>
      </c>
      <c r="B299" s="199" t="s">
        <v>82</v>
      </c>
      <c r="C299" s="185" t="s">
        <v>1</v>
      </c>
      <c r="D299" s="186" t="s">
        <v>59</v>
      </c>
      <c r="E299" s="186" t="s">
        <v>59</v>
      </c>
      <c r="F299" s="187" t="s">
        <v>59</v>
      </c>
      <c r="G299" s="187" t="s">
        <v>59</v>
      </c>
      <c r="H299" s="187"/>
      <c r="I299" s="18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13"/>
        <v>Tony Jantschke</v>
      </c>
    </row>
    <row r="300" spans="1:28" ht="10.5" customHeight="1" x14ac:dyDescent="0.2">
      <c r="A300" s="198">
        <v>26</v>
      </c>
      <c r="B300" s="199" t="s">
        <v>449</v>
      </c>
      <c r="C300" s="185" t="s">
        <v>1</v>
      </c>
      <c r="D300" s="186" t="s">
        <v>59</v>
      </c>
      <c r="E300" s="186" t="s">
        <v>59</v>
      </c>
      <c r="F300" s="187" t="s">
        <v>59</v>
      </c>
      <c r="G300" s="187" t="s">
        <v>59</v>
      </c>
      <c r="H300" s="187"/>
      <c r="I300" s="18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ref="AB300:AB304" si="114">B300</f>
        <v>Lukas Ullrich</v>
      </c>
    </row>
    <row r="301" spans="1:28" ht="10.5" customHeight="1" x14ac:dyDescent="0.2">
      <c r="A301" s="198">
        <v>29</v>
      </c>
      <c r="B301" s="199" t="s">
        <v>257</v>
      </c>
      <c r="C301" s="185" t="s">
        <v>1</v>
      </c>
      <c r="D301" s="186" t="s">
        <v>59</v>
      </c>
      <c r="E301" s="186" t="s">
        <v>59</v>
      </c>
      <c r="F301" s="187" t="s">
        <v>59</v>
      </c>
      <c r="G301" s="187" t="s">
        <v>59</v>
      </c>
      <c r="H301" s="187"/>
      <c r="I301" s="186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si="114"/>
        <v>Joe Scally (A)</v>
      </c>
    </row>
    <row r="302" spans="1:28" ht="10.5" customHeight="1" x14ac:dyDescent="0.2">
      <c r="A302" s="198">
        <v>30</v>
      </c>
      <c r="B302" s="199" t="s">
        <v>125</v>
      </c>
      <c r="C302" s="185" t="s">
        <v>1</v>
      </c>
      <c r="D302" s="186" t="s">
        <v>59</v>
      </c>
      <c r="E302" s="186" t="s">
        <v>59</v>
      </c>
      <c r="F302" s="187" t="s">
        <v>59</v>
      </c>
      <c r="G302" s="187" t="s">
        <v>59</v>
      </c>
      <c r="H302" s="187"/>
      <c r="I302" s="186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si="114"/>
        <v>Nico Elvedi (A)</v>
      </c>
    </row>
    <row r="303" spans="1:28" ht="10.5" customHeight="1" x14ac:dyDescent="0.2">
      <c r="A303" s="198">
        <v>39</v>
      </c>
      <c r="B303" s="199" t="s">
        <v>450</v>
      </c>
      <c r="C303" s="185" t="s">
        <v>1</v>
      </c>
      <c r="D303" s="186" t="s">
        <v>59</v>
      </c>
      <c r="E303" s="186" t="s">
        <v>59</v>
      </c>
      <c r="F303" s="187" t="s">
        <v>59</v>
      </c>
      <c r="G303" s="187" t="s">
        <v>59</v>
      </c>
      <c r="H303" s="187"/>
      <c r="I303" s="186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 t="shared" si="114"/>
        <v>Maximilian Wöber (A)</v>
      </c>
    </row>
    <row r="304" spans="1:28" ht="10.5" customHeight="1" x14ac:dyDescent="0.2">
      <c r="A304" s="198">
        <v>45</v>
      </c>
      <c r="B304" s="199" t="s">
        <v>451</v>
      </c>
      <c r="C304" s="185" t="s">
        <v>1</v>
      </c>
      <c r="D304" s="186" t="s">
        <v>59</v>
      </c>
      <c r="E304" s="186" t="s">
        <v>59</v>
      </c>
      <c r="F304" s="187" t="s">
        <v>59</v>
      </c>
      <c r="G304" s="187" t="s">
        <v>59</v>
      </c>
      <c r="H304" s="187"/>
      <c r="I304" s="186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si="114"/>
        <v>Simon Walde</v>
      </c>
    </row>
    <row r="305" spans="1:28" ht="10.5" customHeight="1" x14ac:dyDescent="0.2">
      <c r="A305" s="200">
        <v>8</v>
      </c>
      <c r="B305" s="190" t="s">
        <v>379</v>
      </c>
      <c r="C305" s="190" t="s">
        <v>2</v>
      </c>
      <c r="D305" s="191" t="s">
        <v>59</v>
      </c>
      <c r="E305" s="191" t="s">
        <v>59</v>
      </c>
      <c r="F305" s="192" t="s">
        <v>59</v>
      </c>
      <c r="G305" s="192" t="s">
        <v>59</v>
      </c>
      <c r="H305" s="192"/>
      <c r="I305" s="191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0"/>
        <v>Julian Weigl</v>
      </c>
    </row>
    <row r="306" spans="1:28" ht="10.5" customHeight="1" x14ac:dyDescent="0.2">
      <c r="A306" s="200">
        <v>9</v>
      </c>
      <c r="B306" s="190" t="s">
        <v>452</v>
      </c>
      <c r="C306" s="190" t="s">
        <v>2</v>
      </c>
      <c r="D306" s="191" t="s">
        <v>59</v>
      </c>
      <c r="E306" s="191" t="s">
        <v>59</v>
      </c>
      <c r="F306" s="192" t="s">
        <v>59</v>
      </c>
      <c r="G306" s="192" t="s">
        <v>59</v>
      </c>
      <c r="H306" s="192"/>
      <c r="I306" s="191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AB306" s="175" t="str">
        <f t="shared" si="110"/>
        <v>Franck Honorat (A)</v>
      </c>
    </row>
    <row r="307" spans="1:28" ht="10.5" customHeight="1" x14ac:dyDescent="0.2">
      <c r="A307" s="200">
        <v>10</v>
      </c>
      <c r="B307" s="190" t="s">
        <v>164</v>
      </c>
      <c r="C307" s="190" t="s">
        <v>2</v>
      </c>
      <c r="D307" s="191" t="s">
        <v>59</v>
      </c>
      <c r="E307" s="191" t="s">
        <v>59</v>
      </c>
      <c r="F307" s="192" t="s">
        <v>59</v>
      </c>
      <c r="G307" s="192" t="s">
        <v>59</v>
      </c>
      <c r="H307" s="192"/>
      <c r="I307" s="191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B307" s="175" t="str">
        <f>B307</f>
        <v>Florian Neuhaus</v>
      </c>
    </row>
    <row r="308" spans="1:28" ht="10.5" customHeight="1" x14ac:dyDescent="0.2">
      <c r="A308" s="200">
        <v>17</v>
      </c>
      <c r="B308" s="190" t="s">
        <v>594</v>
      </c>
      <c r="C308" s="190" t="s">
        <v>2</v>
      </c>
      <c r="D308" s="191" t="s">
        <v>59</v>
      </c>
      <c r="E308" s="191" t="s">
        <v>59</v>
      </c>
      <c r="F308" s="192" t="s">
        <v>59</v>
      </c>
      <c r="G308" s="192" t="s">
        <v>59</v>
      </c>
      <c r="H308" s="192"/>
      <c r="I308" s="191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AB308" s="175" t="str">
        <f t="shared" ref="AB308:AB310" si="115">B308</f>
        <v>Manu Koné (A)</v>
      </c>
    </row>
    <row r="309" spans="1:28" ht="10.5" customHeight="1" x14ac:dyDescent="0.2">
      <c r="A309" s="200">
        <v>19</v>
      </c>
      <c r="B309" s="190" t="s">
        <v>378</v>
      </c>
      <c r="C309" s="190" t="s">
        <v>2</v>
      </c>
      <c r="D309" s="191" t="s">
        <v>59</v>
      </c>
      <c r="E309" s="191" t="s">
        <v>59</v>
      </c>
      <c r="F309" s="192" t="s">
        <v>59</v>
      </c>
      <c r="G309" s="192" t="s">
        <v>59</v>
      </c>
      <c r="H309" s="192"/>
      <c r="I309" s="191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AB309" s="175" t="str">
        <f t="shared" si="115"/>
        <v>Nathan Ngoumou (A)</v>
      </c>
    </row>
    <row r="310" spans="1:28" ht="10.5" customHeight="1" x14ac:dyDescent="0.2">
      <c r="A310" s="200">
        <v>23</v>
      </c>
      <c r="B310" s="190" t="s">
        <v>113</v>
      </c>
      <c r="C310" s="190" t="s">
        <v>2</v>
      </c>
      <c r="D310" s="191" t="s">
        <v>59</v>
      </c>
      <c r="E310" s="191" t="s">
        <v>59</v>
      </c>
      <c r="F310" s="192" t="s">
        <v>59</v>
      </c>
      <c r="G310" s="192" t="s">
        <v>59</v>
      </c>
      <c r="H310" s="192"/>
      <c r="I310" s="191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AB310" s="175" t="str">
        <f t="shared" si="115"/>
        <v>Christoph Kramer</v>
      </c>
    </row>
    <row r="311" spans="1:28" ht="10.5" customHeight="1" x14ac:dyDescent="0.2">
      <c r="A311" s="200">
        <v>25</v>
      </c>
      <c r="B311" s="190" t="s">
        <v>453</v>
      </c>
      <c r="C311" s="190" t="s">
        <v>2</v>
      </c>
      <c r="D311" s="191" t="s">
        <v>59</v>
      </c>
      <c r="E311" s="191" t="s">
        <v>59</v>
      </c>
      <c r="F311" s="192" t="s">
        <v>59</v>
      </c>
      <c r="G311" s="192" t="s">
        <v>59</v>
      </c>
      <c r="H311" s="192"/>
      <c r="I311" s="191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AB311" s="175" t="str">
        <f t="shared" ref="AB311:AB312" si="116">B311</f>
        <v>Robin Hack</v>
      </c>
    </row>
    <row r="312" spans="1:28" ht="10.5" customHeight="1" x14ac:dyDescent="0.2">
      <c r="A312" s="200">
        <v>27</v>
      </c>
      <c r="B312" s="190" t="s">
        <v>454</v>
      </c>
      <c r="C312" s="190" t="s">
        <v>2</v>
      </c>
      <c r="D312" s="191" t="s">
        <v>59</v>
      </c>
      <c r="E312" s="191" t="s">
        <v>59</v>
      </c>
      <c r="F312" s="192" t="s">
        <v>59</v>
      </c>
      <c r="G312" s="192" t="s">
        <v>59</v>
      </c>
      <c r="H312" s="192"/>
      <c r="I312" s="191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AB312" s="175" t="str">
        <f t="shared" si="116"/>
        <v>Rocco Reitz</v>
      </c>
    </row>
    <row r="313" spans="1:28" ht="10.5" customHeight="1" x14ac:dyDescent="0.2">
      <c r="A313" s="201">
        <v>7</v>
      </c>
      <c r="B313" s="195" t="s">
        <v>91</v>
      </c>
      <c r="C313" s="195" t="s">
        <v>3</v>
      </c>
      <c r="D313" s="196" t="s">
        <v>59</v>
      </c>
      <c r="E313" s="196" t="s">
        <v>59</v>
      </c>
      <c r="F313" s="197" t="s">
        <v>59</v>
      </c>
      <c r="G313" s="197" t="s">
        <v>59</v>
      </c>
      <c r="H313" s="197"/>
      <c r="I313" s="19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AB313" s="175" t="str">
        <f>B313</f>
        <v>Patrick Herrmann</v>
      </c>
    </row>
    <row r="314" spans="1:28" ht="10.5" customHeight="1" x14ac:dyDescent="0.2">
      <c r="A314" s="201">
        <v>13</v>
      </c>
      <c r="B314" s="195" t="s">
        <v>337</v>
      </c>
      <c r="C314" s="195" t="s">
        <v>3</v>
      </c>
      <c r="D314" s="196" t="s">
        <v>59</v>
      </c>
      <c r="E314" s="196" t="s">
        <v>59</v>
      </c>
      <c r="F314" s="197" t="s">
        <v>59</v>
      </c>
      <c r="G314" s="197" t="s">
        <v>59</v>
      </c>
      <c r="H314" s="197"/>
      <c r="I314" s="19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AB314" s="175" t="str">
        <f t="shared" ref="AB314" si="117">B314</f>
        <v>Jordan Siebatcheu (A)</v>
      </c>
    </row>
    <row r="315" spans="1:28" ht="10.5" customHeight="1" x14ac:dyDescent="0.2">
      <c r="A315" s="201">
        <v>14</v>
      </c>
      <c r="B315" s="195" t="s">
        <v>165</v>
      </c>
      <c r="C315" s="195" t="s">
        <v>3</v>
      </c>
      <c r="D315" s="196" t="s">
        <v>59</v>
      </c>
      <c r="E315" s="196" t="s">
        <v>59</v>
      </c>
      <c r="F315" s="197" t="s">
        <v>59</v>
      </c>
      <c r="G315" s="197" t="s">
        <v>59</v>
      </c>
      <c r="H315" s="197"/>
      <c r="I315" s="196"/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AB315" s="175" t="str">
        <f t="shared" ref="AB315:AB318" si="118">B315</f>
        <v>Alassane Plea (A)</v>
      </c>
    </row>
    <row r="316" spans="1:28" ht="10.5" customHeight="1" x14ac:dyDescent="0.2">
      <c r="A316" s="201">
        <v>28</v>
      </c>
      <c r="B316" s="195" t="s">
        <v>455</v>
      </c>
      <c r="C316" s="195" t="s">
        <v>3</v>
      </c>
      <c r="D316" s="196" t="s">
        <v>59</v>
      </c>
      <c r="E316" s="196" t="s">
        <v>59</v>
      </c>
      <c r="F316" s="197" t="s">
        <v>59</v>
      </c>
      <c r="G316" s="197" t="s">
        <v>59</v>
      </c>
      <c r="H316" s="197"/>
      <c r="I316" s="196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ref="AB316:AB317" si="119">B316</f>
        <v>Grant-Leon Ranos</v>
      </c>
    </row>
    <row r="317" spans="1:28" ht="10.5" customHeight="1" x14ac:dyDescent="0.2">
      <c r="A317" s="201">
        <v>31</v>
      </c>
      <c r="B317" s="195" t="s">
        <v>593</v>
      </c>
      <c r="C317" s="195" t="s">
        <v>3</v>
      </c>
      <c r="D317" s="196" t="s">
        <v>59</v>
      </c>
      <c r="E317" s="196" t="s">
        <v>59</v>
      </c>
      <c r="F317" s="197" t="s">
        <v>59</v>
      </c>
      <c r="G317" s="197" t="s">
        <v>59</v>
      </c>
      <c r="H317" s="197"/>
      <c r="I317" s="196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si="119"/>
        <v>Tomáš Čvančara (A)</v>
      </c>
    </row>
    <row r="318" spans="1:28" ht="10.5" customHeight="1" x14ac:dyDescent="0.2">
      <c r="A318" s="201">
        <v>49</v>
      </c>
      <c r="B318" s="195" t="s">
        <v>663</v>
      </c>
      <c r="C318" s="195" t="s">
        <v>3</v>
      </c>
      <c r="D318" s="196" t="s">
        <v>59</v>
      </c>
      <c r="E318" s="196" t="s">
        <v>59</v>
      </c>
      <c r="F318" s="197" t="s">
        <v>59</v>
      </c>
      <c r="G318" s="197" t="s">
        <v>59</v>
      </c>
      <c r="H318" s="197"/>
      <c r="I318" s="196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si="118"/>
        <v>Shio Fukuda (A)</v>
      </c>
    </row>
    <row r="319" spans="1:28" ht="15" customHeight="1" thickBot="1" x14ac:dyDescent="0.25">
      <c r="A319" s="219" t="s">
        <v>181</v>
      </c>
      <c r="B319" s="219"/>
      <c r="C319" s="219"/>
      <c r="D319" s="219"/>
      <c r="E319" s="219"/>
      <c r="F319" s="219"/>
      <c r="G319" s="219"/>
      <c r="H319" s="219"/>
      <c r="I319" s="219"/>
      <c r="J319" s="10"/>
      <c r="K319" s="176">
        <v>12</v>
      </c>
      <c r="L319" s="176">
        <v>12</v>
      </c>
      <c r="M319" s="176">
        <v>12</v>
      </c>
      <c r="N319" s="176">
        <v>12</v>
      </c>
      <c r="O319" s="176">
        <v>12</v>
      </c>
      <c r="P319" s="176">
        <v>12</v>
      </c>
      <c r="Q319" s="176">
        <v>12</v>
      </c>
      <c r="R319" s="176">
        <v>12</v>
      </c>
      <c r="S319" s="176">
        <v>12</v>
      </c>
      <c r="T319" s="176">
        <v>12</v>
      </c>
      <c r="U319" s="176">
        <v>12</v>
      </c>
      <c r="V319" s="176">
        <v>12</v>
      </c>
      <c r="W319" s="176">
        <v>12</v>
      </c>
      <c r="X319" s="176">
        <v>12</v>
      </c>
      <c r="Y319" s="176">
        <v>12</v>
      </c>
      <c r="Z319" s="217"/>
      <c r="AB319" s="175" t="str">
        <f>A319</f>
        <v>1.FC Köln</v>
      </c>
    </row>
    <row r="320" spans="1:28" ht="10.5" customHeight="1" x14ac:dyDescent="0.2">
      <c r="A320" s="177">
        <v>1</v>
      </c>
      <c r="B320" s="178" t="s">
        <v>293</v>
      </c>
      <c r="C320" s="178" t="s">
        <v>0</v>
      </c>
      <c r="D320" s="179" t="s">
        <v>59</v>
      </c>
      <c r="E320" s="179" t="s">
        <v>59</v>
      </c>
      <c r="F320" s="180" t="s">
        <v>59</v>
      </c>
      <c r="G320" s="180" t="s">
        <v>59</v>
      </c>
      <c r="H320" s="180"/>
      <c r="I320" s="179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AB320" s="175" t="str">
        <f t="shared" ref="AB320:AB334" si="120">B320</f>
        <v>Marvin Schwäbe</v>
      </c>
    </row>
    <row r="321" spans="1:28" ht="10.5" customHeight="1" x14ac:dyDescent="0.2">
      <c r="A321" s="177">
        <v>12</v>
      </c>
      <c r="B321" s="178" t="s">
        <v>456</v>
      </c>
      <c r="C321" s="178" t="s">
        <v>0</v>
      </c>
      <c r="D321" s="179" t="s">
        <v>59</v>
      </c>
      <c r="E321" s="179" t="s">
        <v>59</v>
      </c>
      <c r="F321" s="180" t="s">
        <v>59</v>
      </c>
      <c r="G321" s="180" t="s">
        <v>59</v>
      </c>
      <c r="H321" s="180"/>
      <c r="I321" s="179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AB321" s="175" t="str">
        <f t="shared" si="120"/>
        <v>Jonas Nickisch</v>
      </c>
    </row>
    <row r="322" spans="1:28" ht="10.5" customHeight="1" x14ac:dyDescent="0.2">
      <c r="A322" s="177">
        <v>20</v>
      </c>
      <c r="B322" s="178" t="s">
        <v>191</v>
      </c>
      <c r="C322" s="178" t="s">
        <v>0</v>
      </c>
      <c r="D322" s="179" t="s">
        <v>59</v>
      </c>
      <c r="E322" s="179" t="s">
        <v>59</v>
      </c>
      <c r="F322" s="180" t="s">
        <v>59</v>
      </c>
      <c r="G322" s="180" t="s">
        <v>59</v>
      </c>
      <c r="H322" s="180"/>
      <c r="I322" s="179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AB322" s="175" t="str">
        <f t="shared" ref="AB322:AB323" si="121">B322</f>
        <v>Philipp Pentke</v>
      </c>
    </row>
    <row r="323" spans="1:28" ht="10.5" customHeight="1" x14ac:dyDescent="0.2">
      <c r="A323" s="177">
        <v>44</v>
      </c>
      <c r="B323" s="178" t="s">
        <v>457</v>
      </c>
      <c r="C323" s="178" t="s">
        <v>0</v>
      </c>
      <c r="D323" s="179" t="s">
        <v>59</v>
      </c>
      <c r="E323" s="179" t="s">
        <v>59</v>
      </c>
      <c r="F323" s="180" t="s">
        <v>59</v>
      </c>
      <c r="G323" s="180" t="s">
        <v>59</v>
      </c>
      <c r="H323" s="180"/>
      <c r="I323" s="179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AB323" s="175" t="str">
        <f t="shared" si="121"/>
        <v>Matthias Köbbing</v>
      </c>
    </row>
    <row r="324" spans="1:28" s="113" customFormat="1" ht="10.5" customHeight="1" x14ac:dyDescent="0.2">
      <c r="A324" s="198">
        <v>2</v>
      </c>
      <c r="B324" s="199" t="s">
        <v>202</v>
      </c>
      <c r="C324" s="185" t="s">
        <v>1</v>
      </c>
      <c r="D324" s="186" t="s">
        <v>59</v>
      </c>
      <c r="E324" s="186" t="s">
        <v>59</v>
      </c>
      <c r="F324" s="187" t="s">
        <v>59</v>
      </c>
      <c r="G324" s="187" t="s">
        <v>59</v>
      </c>
      <c r="H324" s="187"/>
      <c r="I324" s="186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72"/>
      <c r="AB324" s="175" t="str">
        <f t="shared" si="120"/>
        <v>Benno Schmitz</v>
      </c>
    </row>
    <row r="325" spans="1:28" s="113" customFormat="1" ht="10.5" customHeight="1" x14ac:dyDescent="0.2">
      <c r="A325" s="198">
        <v>3</v>
      </c>
      <c r="B325" s="199" t="s">
        <v>168</v>
      </c>
      <c r="C325" s="185" t="s">
        <v>1</v>
      </c>
      <c r="D325" s="186" t="s">
        <v>59</v>
      </c>
      <c r="E325" s="186" t="s">
        <v>59</v>
      </c>
      <c r="F325" s="187" t="s">
        <v>59</v>
      </c>
      <c r="G325" s="187" t="s">
        <v>59</v>
      </c>
      <c r="H325" s="187"/>
      <c r="I325" s="186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72"/>
      <c r="AB325" s="175" t="str">
        <f t="shared" si="120"/>
        <v>Dominique Heintz</v>
      </c>
    </row>
    <row r="326" spans="1:28" s="113" customFormat="1" ht="10.5" customHeight="1" x14ac:dyDescent="0.2">
      <c r="A326" s="198">
        <v>4</v>
      </c>
      <c r="B326" s="199" t="s">
        <v>294</v>
      </c>
      <c r="C326" s="185" t="s">
        <v>1</v>
      </c>
      <c r="D326" s="186" t="s">
        <v>59</v>
      </c>
      <c r="E326" s="186" t="s">
        <v>59</v>
      </c>
      <c r="F326" s="187" t="s">
        <v>59</v>
      </c>
      <c r="G326" s="187" t="s">
        <v>59</v>
      </c>
      <c r="H326" s="187"/>
      <c r="I326" s="18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72"/>
      <c r="AB326" s="175" t="str">
        <f t="shared" si="120"/>
        <v>Timo Hübers</v>
      </c>
    </row>
    <row r="327" spans="1:28" s="113" customFormat="1" ht="10.5" customHeight="1" x14ac:dyDescent="0.2">
      <c r="A327" s="198">
        <v>15</v>
      </c>
      <c r="B327" s="199" t="s">
        <v>205</v>
      </c>
      <c r="C327" s="185" t="s">
        <v>1</v>
      </c>
      <c r="D327" s="186" t="s">
        <v>59</v>
      </c>
      <c r="E327" s="186" t="s">
        <v>59</v>
      </c>
      <c r="F327" s="187" t="s">
        <v>59</v>
      </c>
      <c r="G327" s="187" t="s">
        <v>59</v>
      </c>
      <c r="H327" s="187"/>
      <c r="I327" s="18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72"/>
      <c r="AB327" s="175" t="str">
        <f t="shared" ref="AB327:AB333" si="122">B327</f>
        <v>Luca Kilian</v>
      </c>
    </row>
    <row r="328" spans="1:28" s="113" customFormat="1" ht="10.5" customHeight="1" x14ac:dyDescent="0.2">
      <c r="A328" s="198">
        <v>17</v>
      </c>
      <c r="B328" s="199" t="s">
        <v>458</v>
      </c>
      <c r="C328" s="185" t="s">
        <v>1</v>
      </c>
      <c r="D328" s="186" t="s">
        <v>59</v>
      </c>
      <c r="E328" s="186" t="s">
        <v>59</v>
      </c>
      <c r="F328" s="187" t="s">
        <v>59</v>
      </c>
      <c r="G328" s="187" t="s">
        <v>59</v>
      </c>
      <c r="H328" s="187"/>
      <c r="I328" s="18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72"/>
      <c r="AB328" s="175" t="str">
        <f t="shared" si="122"/>
        <v>Leart Paqarada</v>
      </c>
    </row>
    <row r="329" spans="1:28" s="113" customFormat="1" ht="10.5" customHeight="1" x14ac:dyDescent="0.2">
      <c r="A329" s="198">
        <v>18</v>
      </c>
      <c r="B329" s="199" t="s">
        <v>459</v>
      </c>
      <c r="C329" s="185" t="s">
        <v>1</v>
      </c>
      <c r="D329" s="186" t="s">
        <v>59</v>
      </c>
      <c r="E329" s="186" t="s">
        <v>59</v>
      </c>
      <c r="F329" s="187" t="s">
        <v>59</v>
      </c>
      <c r="G329" s="187" t="s">
        <v>59</v>
      </c>
      <c r="H329" s="187"/>
      <c r="I329" s="186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72"/>
      <c r="AB329" s="175" t="str">
        <f t="shared" si="122"/>
        <v>Rasmus Carstensen (A)</v>
      </c>
    </row>
    <row r="330" spans="1:28" s="113" customFormat="1" ht="10.5" customHeight="1" x14ac:dyDescent="0.2">
      <c r="A330" s="198">
        <v>24</v>
      </c>
      <c r="B330" s="199" t="s">
        <v>314</v>
      </c>
      <c r="C330" s="185" t="s">
        <v>1</v>
      </c>
      <c r="D330" s="186" t="s">
        <v>59</v>
      </c>
      <c r="E330" s="186" t="s">
        <v>59</v>
      </c>
      <c r="F330" s="187" t="s">
        <v>59</v>
      </c>
      <c r="G330" s="187" t="s">
        <v>59</v>
      </c>
      <c r="H330" s="187"/>
      <c r="I330" s="186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72"/>
      <c r="AB330" s="175" t="str">
        <f t="shared" si="122"/>
        <v>Jeff Chabot</v>
      </c>
    </row>
    <row r="331" spans="1:28" s="113" customFormat="1" ht="10.5" customHeight="1" x14ac:dyDescent="0.2">
      <c r="A331" s="198">
        <v>30</v>
      </c>
      <c r="B331" s="199" t="s">
        <v>460</v>
      </c>
      <c r="C331" s="185" t="s">
        <v>1</v>
      </c>
      <c r="D331" s="186" t="s">
        <v>59</v>
      </c>
      <c r="E331" s="186" t="s">
        <v>59</v>
      </c>
      <c r="F331" s="187" t="s">
        <v>59</v>
      </c>
      <c r="G331" s="187" t="s">
        <v>59</v>
      </c>
      <c r="H331" s="187"/>
      <c r="I331" s="186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72"/>
      <c r="AB331" s="175" t="str">
        <f t="shared" si="122"/>
        <v>Noah Katterbach</v>
      </c>
    </row>
    <row r="332" spans="1:28" s="113" customFormat="1" ht="10.5" customHeight="1" x14ac:dyDescent="0.2">
      <c r="A332" s="198">
        <v>35</v>
      </c>
      <c r="B332" s="199" t="s">
        <v>559</v>
      </c>
      <c r="C332" s="185" t="s">
        <v>1</v>
      </c>
      <c r="D332" s="186" t="s">
        <v>59</v>
      </c>
      <c r="E332" s="186" t="s">
        <v>59</v>
      </c>
      <c r="F332" s="187" t="s">
        <v>59</v>
      </c>
      <c r="G332" s="187" t="s">
        <v>59</v>
      </c>
      <c r="H332" s="187"/>
      <c r="I332" s="186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72"/>
      <c r="AB332" s="175" t="str">
        <f t="shared" si="122"/>
        <v>Max Finkgräfe</v>
      </c>
    </row>
    <row r="333" spans="1:28" s="113" customFormat="1" ht="10.5" customHeight="1" x14ac:dyDescent="0.2">
      <c r="A333" s="198">
        <v>38</v>
      </c>
      <c r="B333" s="199" t="s">
        <v>461</v>
      </c>
      <c r="C333" s="185" t="s">
        <v>1</v>
      </c>
      <c r="D333" s="186" t="s">
        <v>59</v>
      </c>
      <c r="E333" s="186" t="s">
        <v>59</v>
      </c>
      <c r="F333" s="187" t="s">
        <v>59</v>
      </c>
      <c r="G333" s="187" t="s">
        <v>59</v>
      </c>
      <c r="H333" s="187"/>
      <c r="I333" s="186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72"/>
      <c r="AB333" s="175" t="str">
        <f t="shared" si="122"/>
        <v>Elias Bakatukanda</v>
      </c>
    </row>
    <row r="334" spans="1:28" ht="10.5" customHeight="1" x14ac:dyDescent="0.2">
      <c r="A334" s="200">
        <v>6</v>
      </c>
      <c r="B334" s="190" t="s">
        <v>339</v>
      </c>
      <c r="C334" s="190" t="s">
        <v>2</v>
      </c>
      <c r="D334" s="191" t="s">
        <v>59</v>
      </c>
      <c r="E334" s="191" t="s">
        <v>59</v>
      </c>
      <c r="F334" s="192" t="s">
        <v>59</v>
      </c>
      <c r="G334" s="192" t="s">
        <v>59</v>
      </c>
      <c r="H334" s="192"/>
      <c r="I334" s="191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B334" s="175" t="str">
        <f t="shared" si="120"/>
        <v>Eric Martel</v>
      </c>
    </row>
    <row r="335" spans="1:28" ht="10.5" customHeight="1" x14ac:dyDescent="0.2">
      <c r="A335" s="200">
        <v>7</v>
      </c>
      <c r="B335" s="190" t="s">
        <v>296</v>
      </c>
      <c r="C335" s="190" t="s">
        <v>2</v>
      </c>
      <c r="D335" s="191" t="s">
        <v>59</v>
      </c>
      <c r="E335" s="191" t="s">
        <v>59</v>
      </c>
      <c r="F335" s="192" t="s">
        <v>59</v>
      </c>
      <c r="G335" s="192" t="s">
        <v>59</v>
      </c>
      <c r="H335" s="192"/>
      <c r="I335" s="191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B335" s="175" t="str">
        <f t="shared" ref="AB335:AB341" si="123">B335</f>
        <v>Dejan Ljubicic (A)</v>
      </c>
    </row>
    <row r="336" spans="1:28" ht="10.5" customHeight="1" x14ac:dyDescent="0.2">
      <c r="A336" s="200">
        <v>8</v>
      </c>
      <c r="B336" s="190" t="s">
        <v>595</v>
      </c>
      <c r="C336" s="190" t="s">
        <v>2</v>
      </c>
      <c r="D336" s="191" t="s">
        <v>59</v>
      </c>
      <c r="E336" s="191" t="s">
        <v>59</v>
      </c>
      <c r="F336" s="192" t="s">
        <v>59</v>
      </c>
      <c r="G336" s="192" t="s">
        <v>59</v>
      </c>
      <c r="H336" s="192"/>
      <c r="I336" s="191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B336" s="175" t="str">
        <f t="shared" si="123"/>
        <v>Denis Huseinbašić</v>
      </c>
    </row>
    <row r="337" spans="1:28" ht="10.5" customHeight="1" x14ac:dyDescent="0.2">
      <c r="A337" s="200">
        <v>11</v>
      </c>
      <c r="B337" s="190" t="s">
        <v>139</v>
      </c>
      <c r="C337" s="190" t="s">
        <v>2</v>
      </c>
      <c r="D337" s="191" t="s">
        <v>59</v>
      </c>
      <c r="E337" s="191" t="s">
        <v>59</v>
      </c>
      <c r="F337" s="192" t="s">
        <v>59</v>
      </c>
      <c r="G337" s="192" t="s">
        <v>59</v>
      </c>
      <c r="H337" s="192"/>
      <c r="I337" s="191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AB337" s="175" t="str">
        <f t="shared" si="123"/>
        <v>Florian Kainz (A)</v>
      </c>
    </row>
    <row r="338" spans="1:28" ht="10.5" customHeight="1" x14ac:dyDescent="0.2">
      <c r="A338" s="200">
        <v>22</v>
      </c>
      <c r="B338" s="190" t="s">
        <v>462</v>
      </c>
      <c r="C338" s="190" t="s">
        <v>2</v>
      </c>
      <c r="D338" s="191" t="s">
        <v>59</v>
      </c>
      <c r="E338" s="191" t="s">
        <v>59</v>
      </c>
      <c r="F338" s="192" t="s">
        <v>59</v>
      </c>
      <c r="G338" s="192" t="s">
        <v>59</v>
      </c>
      <c r="H338" s="192"/>
      <c r="I338" s="191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AB338" s="175" t="str">
        <f t="shared" si="123"/>
        <v>Jacob Christensen (A)</v>
      </c>
    </row>
    <row r="339" spans="1:28" ht="10.5" customHeight="1" x14ac:dyDescent="0.2">
      <c r="A339" s="200">
        <v>29</v>
      </c>
      <c r="B339" s="190" t="s">
        <v>216</v>
      </c>
      <c r="C339" s="190" t="s">
        <v>2</v>
      </c>
      <c r="D339" s="191" t="s">
        <v>59</v>
      </c>
      <c r="E339" s="191" t="s">
        <v>59</v>
      </c>
      <c r="F339" s="192" t="s">
        <v>59</v>
      </c>
      <c r="G339" s="192" t="s">
        <v>59</v>
      </c>
      <c r="H339" s="192"/>
      <c r="I339" s="191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AB339" s="175" t="str">
        <f t="shared" si="123"/>
        <v>Jan Thielmann</v>
      </c>
    </row>
    <row r="340" spans="1:28" ht="10.5" customHeight="1" x14ac:dyDescent="0.2">
      <c r="A340" s="200">
        <v>36</v>
      </c>
      <c r="B340" s="190" t="s">
        <v>668</v>
      </c>
      <c r="C340" s="190" t="s">
        <v>2</v>
      </c>
      <c r="D340" s="191" t="s">
        <v>59</v>
      </c>
      <c r="E340" s="191" t="s">
        <v>59</v>
      </c>
      <c r="F340" s="192" t="s">
        <v>59</v>
      </c>
      <c r="G340" s="192" t="s">
        <v>59</v>
      </c>
      <c r="H340" s="192"/>
      <c r="I340" s="191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AB340" s="175" t="str">
        <f t="shared" ref="AB340" si="124">B340</f>
        <v>Meiko Wäschenbach</v>
      </c>
    </row>
    <row r="341" spans="1:28" ht="10.5" customHeight="1" x14ac:dyDescent="0.2">
      <c r="A341" s="200">
        <v>37</v>
      </c>
      <c r="B341" s="190" t="s">
        <v>340</v>
      </c>
      <c r="C341" s="190" t="s">
        <v>2</v>
      </c>
      <c r="D341" s="191" t="s">
        <v>59</v>
      </c>
      <c r="E341" s="191" t="s">
        <v>59</v>
      </c>
      <c r="F341" s="192" t="s">
        <v>59</v>
      </c>
      <c r="G341" s="192" t="s">
        <v>59</v>
      </c>
      <c r="H341" s="192"/>
      <c r="I341" s="191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AB341" s="175" t="str">
        <f t="shared" si="123"/>
        <v>Linton Maina</v>
      </c>
    </row>
    <row r="342" spans="1:28" ht="10.5" customHeight="1" x14ac:dyDescent="0.2">
      <c r="A342" s="200">
        <v>40</v>
      </c>
      <c r="B342" s="190" t="s">
        <v>350</v>
      </c>
      <c r="C342" s="190" t="s">
        <v>2</v>
      </c>
      <c r="D342" s="191" t="s">
        <v>59</v>
      </c>
      <c r="E342" s="191" t="s">
        <v>59</v>
      </c>
      <c r="F342" s="192" t="s">
        <v>59</v>
      </c>
      <c r="G342" s="192" t="s">
        <v>59</v>
      </c>
      <c r="H342" s="192"/>
      <c r="I342" s="191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AB342" s="175" t="str">
        <f t="shared" ref="AB342" si="125">B342</f>
        <v>Faride Alidou</v>
      </c>
    </row>
    <row r="343" spans="1:28" ht="10.5" customHeight="1" x14ac:dyDescent="0.2">
      <c r="A343" s="201">
        <v>9</v>
      </c>
      <c r="B343" s="195" t="s">
        <v>463</v>
      </c>
      <c r="C343" s="195" t="s">
        <v>3</v>
      </c>
      <c r="D343" s="196" t="s">
        <v>59</v>
      </c>
      <c r="E343" s="196" t="s">
        <v>59</v>
      </c>
      <c r="F343" s="197" t="s">
        <v>59</v>
      </c>
      <c r="G343" s="197" t="s">
        <v>59</v>
      </c>
      <c r="H343" s="197"/>
      <c r="I343" s="19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AB343" s="175" t="str">
        <f t="shared" ref="AB343" si="126">B343</f>
        <v>Luca Waldschmidt</v>
      </c>
    </row>
    <row r="344" spans="1:28" ht="10.5" customHeight="1" x14ac:dyDescent="0.2">
      <c r="A344" s="201">
        <v>13</v>
      </c>
      <c r="B344" s="195" t="s">
        <v>297</v>
      </c>
      <c r="C344" s="195" t="s">
        <v>3</v>
      </c>
      <c r="D344" s="196" t="s">
        <v>59</v>
      </c>
      <c r="E344" s="196" t="s">
        <v>59</v>
      </c>
      <c r="F344" s="197" t="s">
        <v>59</v>
      </c>
      <c r="G344" s="197" t="s">
        <v>59</v>
      </c>
      <c r="H344" s="197"/>
      <c r="I344" s="19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AB344" s="175" t="str">
        <f t="shared" ref="AB344:AB349" si="127">B344</f>
        <v>Mark Uth</v>
      </c>
    </row>
    <row r="345" spans="1:28" ht="10.5" customHeight="1" x14ac:dyDescent="0.2">
      <c r="A345" s="201">
        <v>21</v>
      </c>
      <c r="B345" s="195" t="s">
        <v>256</v>
      </c>
      <c r="C345" s="195" t="s">
        <v>3</v>
      </c>
      <c r="D345" s="196" t="s">
        <v>59</v>
      </c>
      <c r="E345" s="196" t="s">
        <v>59</v>
      </c>
      <c r="F345" s="197" t="s">
        <v>59</v>
      </c>
      <c r="G345" s="197" t="s">
        <v>59</v>
      </c>
      <c r="H345" s="197"/>
      <c r="I345" s="19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AB345" s="175" t="str">
        <f t="shared" si="127"/>
        <v>Steffen Tigges</v>
      </c>
    </row>
    <row r="346" spans="1:28" ht="10.5" customHeight="1" x14ac:dyDescent="0.2">
      <c r="A346" s="201">
        <v>23</v>
      </c>
      <c r="B346" s="195" t="s">
        <v>341</v>
      </c>
      <c r="C346" s="195" t="s">
        <v>3</v>
      </c>
      <c r="D346" s="196" t="s">
        <v>59</v>
      </c>
      <c r="E346" s="196" t="s">
        <v>59</v>
      </c>
      <c r="F346" s="197" t="s">
        <v>59</v>
      </c>
      <c r="G346" s="197" t="s">
        <v>59</v>
      </c>
      <c r="H346" s="197"/>
      <c r="I346" s="196"/>
      <c r="J346" s="181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AB346" s="175" t="str">
        <f t="shared" si="127"/>
        <v>Sargis Adamyan (A)</v>
      </c>
    </row>
    <row r="347" spans="1:28" ht="10.5" customHeight="1" x14ac:dyDescent="0.2">
      <c r="A347" s="201">
        <v>27</v>
      </c>
      <c r="B347" s="195" t="s">
        <v>136</v>
      </c>
      <c r="C347" s="195" t="s">
        <v>3</v>
      </c>
      <c r="D347" s="196" t="s">
        <v>59</v>
      </c>
      <c r="E347" s="196" t="s">
        <v>59</v>
      </c>
      <c r="F347" s="197" t="s">
        <v>59</v>
      </c>
      <c r="G347" s="197" t="s">
        <v>59</v>
      </c>
      <c r="H347" s="197"/>
      <c r="I347" s="196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AB347" s="175" t="str">
        <f t="shared" si="127"/>
        <v>Davie Selke</v>
      </c>
    </row>
    <row r="348" spans="1:28" ht="10.5" customHeight="1" x14ac:dyDescent="0.2">
      <c r="A348" s="201">
        <v>33</v>
      </c>
      <c r="B348" s="195" t="s">
        <v>342</v>
      </c>
      <c r="C348" s="195" t="s">
        <v>3</v>
      </c>
      <c r="D348" s="196" t="s">
        <v>59</v>
      </c>
      <c r="E348" s="196" t="s">
        <v>59</v>
      </c>
      <c r="F348" s="197" t="s">
        <v>59</v>
      </c>
      <c r="G348" s="197" t="s">
        <v>59</v>
      </c>
      <c r="H348" s="197"/>
      <c r="I348" s="196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AB348" s="175" t="str">
        <f t="shared" si="127"/>
        <v>Florian Dietz</v>
      </c>
    </row>
    <row r="349" spans="1:28" ht="10.5" customHeight="1" x14ac:dyDescent="0.2">
      <c r="A349" s="201">
        <v>42</v>
      </c>
      <c r="B349" s="195" t="s">
        <v>625</v>
      </c>
      <c r="C349" s="195" t="s">
        <v>3</v>
      </c>
      <c r="D349" s="196" t="s">
        <v>59</v>
      </c>
      <c r="E349" s="196" t="s">
        <v>59</v>
      </c>
      <c r="F349" s="197" t="s">
        <v>59</v>
      </c>
      <c r="G349" s="197" t="s">
        <v>59</v>
      </c>
      <c r="H349" s="197"/>
      <c r="I349" s="196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AB349" s="175" t="str">
        <f t="shared" si="127"/>
        <v>Damian Downs</v>
      </c>
    </row>
    <row r="350" spans="1:28" ht="10.5" customHeight="1" x14ac:dyDescent="0.2">
      <c r="A350" s="201">
        <v>45</v>
      </c>
      <c r="B350" s="195" t="s">
        <v>658</v>
      </c>
      <c r="C350" s="195" t="s">
        <v>3</v>
      </c>
      <c r="D350" s="196" t="s">
        <v>59</v>
      </c>
      <c r="E350" s="196" t="s">
        <v>59</v>
      </c>
      <c r="F350" s="197" t="s">
        <v>59</v>
      </c>
      <c r="G350" s="197" t="s">
        <v>59</v>
      </c>
      <c r="H350" s="197"/>
      <c r="I350" s="196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AB350" s="175" t="str">
        <f t="shared" ref="AB350" si="128">B350</f>
        <v>Justin Diehl</v>
      </c>
    </row>
    <row r="351" spans="1:28" ht="15" customHeight="1" thickBot="1" x14ac:dyDescent="0.25">
      <c r="A351" s="219" t="s">
        <v>122</v>
      </c>
      <c r="B351" s="219"/>
      <c r="C351" s="219"/>
      <c r="D351" s="219"/>
      <c r="E351" s="219"/>
      <c r="F351" s="219"/>
      <c r="G351" s="219"/>
      <c r="H351" s="219"/>
      <c r="I351" s="219"/>
      <c r="J351" s="10"/>
      <c r="K351" s="176">
        <v>12</v>
      </c>
      <c r="L351" s="176">
        <v>12</v>
      </c>
      <c r="M351" s="176">
        <v>12</v>
      </c>
      <c r="N351" s="176">
        <v>12</v>
      </c>
      <c r="O351" s="176">
        <v>12</v>
      </c>
      <c r="P351" s="176">
        <v>12</v>
      </c>
      <c r="Q351" s="176">
        <v>12</v>
      </c>
      <c r="R351" s="176">
        <v>12</v>
      </c>
      <c r="S351" s="176">
        <v>12</v>
      </c>
      <c r="T351" s="176">
        <v>12</v>
      </c>
      <c r="U351" s="176">
        <v>12</v>
      </c>
      <c r="V351" s="176">
        <v>12</v>
      </c>
      <c r="W351" s="176">
        <v>12</v>
      </c>
      <c r="X351" s="176">
        <v>12</v>
      </c>
      <c r="Y351" s="176">
        <v>12</v>
      </c>
      <c r="Z351" s="217"/>
      <c r="AB351" s="175" t="str">
        <f>A351</f>
        <v xml:space="preserve"> TSG 1899 Hoffenheim</v>
      </c>
    </row>
    <row r="352" spans="1:28" s="113" customFormat="1" ht="10.5" customHeight="1" x14ac:dyDescent="0.2">
      <c r="A352" s="177">
        <v>1</v>
      </c>
      <c r="B352" s="178" t="s">
        <v>86</v>
      </c>
      <c r="C352" s="178" t="s">
        <v>0</v>
      </c>
      <c r="D352" s="179" t="s">
        <v>59</v>
      </c>
      <c r="E352" s="179" t="s">
        <v>59</v>
      </c>
      <c r="F352" s="180" t="s">
        <v>59</v>
      </c>
      <c r="G352" s="180" t="s">
        <v>59</v>
      </c>
      <c r="H352" s="180"/>
      <c r="I352" s="179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ref="AB352" si="129">B352</f>
        <v>Oliver Baumann</v>
      </c>
    </row>
    <row r="353" spans="1:28" s="113" customFormat="1" ht="10.5" customHeight="1" x14ac:dyDescent="0.2">
      <c r="A353" s="177">
        <v>36</v>
      </c>
      <c r="B353" s="178" t="s">
        <v>285</v>
      </c>
      <c r="C353" s="178" t="s">
        <v>0</v>
      </c>
      <c r="D353" s="179" t="s">
        <v>59</v>
      </c>
      <c r="E353" s="179" t="s">
        <v>59</v>
      </c>
      <c r="F353" s="180" t="s">
        <v>59</v>
      </c>
      <c r="G353" s="180" t="s">
        <v>59</v>
      </c>
      <c r="H353" s="180"/>
      <c r="I353" s="179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ref="AB353:AB354" si="130">B353</f>
        <v>Nahuell Noll</v>
      </c>
    </row>
    <row r="354" spans="1:28" s="113" customFormat="1" ht="10.5" customHeight="1" x14ac:dyDescent="0.2">
      <c r="A354" s="177">
        <v>37</v>
      </c>
      <c r="B354" s="178" t="s">
        <v>232</v>
      </c>
      <c r="C354" s="178" t="s">
        <v>0</v>
      </c>
      <c r="D354" s="179" t="s">
        <v>59</v>
      </c>
      <c r="E354" s="179" t="s">
        <v>59</v>
      </c>
      <c r="F354" s="180" t="s">
        <v>59</v>
      </c>
      <c r="G354" s="180" t="s">
        <v>59</v>
      </c>
      <c r="H354" s="180"/>
      <c r="I354" s="179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30"/>
        <v>Luca Philipp</v>
      </c>
    </row>
    <row r="355" spans="1:28" s="113" customFormat="1" ht="10.5" customHeight="1" x14ac:dyDescent="0.2">
      <c r="A355" s="198">
        <v>3</v>
      </c>
      <c r="B355" s="199" t="s">
        <v>159</v>
      </c>
      <c r="C355" s="185" t="s">
        <v>1</v>
      </c>
      <c r="D355" s="186" t="s">
        <v>59</v>
      </c>
      <c r="E355" s="186" t="s">
        <v>59</v>
      </c>
      <c r="F355" s="187" t="s">
        <v>59</v>
      </c>
      <c r="G355" s="187" t="s">
        <v>59</v>
      </c>
      <c r="H355" s="187"/>
      <c r="I355" s="186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:AB361" si="131">B355</f>
        <v>Pavel Kaderábek (A)</v>
      </c>
    </row>
    <row r="356" spans="1:28" s="113" customFormat="1" ht="10.5" customHeight="1" x14ac:dyDescent="0.2">
      <c r="A356" s="198">
        <v>5</v>
      </c>
      <c r="B356" s="199" t="s">
        <v>345</v>
      </c>
      <c r="C356" s="185" t="s">
        <v>1</v>
      </c>
      <c r="D356" s="186" t="s">
        <v>59</v>
      </c>
      <c r="E356" s="186" t="s">
        <v>59</v>
      </c>
      <c r="F356" s="187" t="s">
        <v>59</v>
      </c>
      <c r="G356" s="187" t="s">
        <v>59</v>
      </c>
      <c r="H356" s="187"/>
      <c r="I356" s="186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31"/>
        <v>Ozan Kabak (A)</v>
      </c>
    </row>
    <row r="357" spans="1:28" s="113" customFormat="1" ht="10.5" customHeight="1" x14ac:dyDescent="0.2">
      <c r="A357" s="198">
        <v>15</v>
      </c>
      <c r="B357" s="199" t="s">
        <v>464</v>
      </c>
      <c r="C357" s="185" t="s">
        <v>1</v>
      </c>
      <c r="D357" s="186" t="s">
        <v>59</v>
      </c>
      <c r="E357" s="186" t="s">
        <v>59</v>
      </c>
      <c r="F357" s="187" t="s">
        <v>59</v>
      </c>
      <c r="G357" s="187" t="s">
        <v>59</v>
      </c>
      <c r="H357" s="187"/>
      <c r="I357" s="186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si="131"/>
        <v>Kasim Adams (A)</v>
      </c>
    </row>
    <row r="358" spans="1:28" s="113" customFormat="1" ht="10.5" customHeight="1" x14ac:dyDescent="0.2">
      <c r="A358" s="198">
        <v>19</v>
      </c>
      <c r="B358" s="199" t="s">
        <v>665</v>
      </c>
      <c r="C358" s="185" t="s">
        <v>1</v>
      </c>
      <c r="D358" s="186" t="s">
        <v>59</v>
      </c>
      <c r="E358" s="186" t="s">
        <v>59</v>
      </c>
      <c r="F358" s="187" t="s">
        <v>59</v>
      </c>
      <c r="G358" s="187" t="s">
        <v>59</v>
      </c>
      <c r="H358" s="187"/>
      <c r="I358" s="186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ref="AB358" si="132">B358</f>
        <v>David Jurasek (A)</v>
      </c>
    </row>
    <row r="359" spans="1:28" s="113" customFormat="1" ht="10.5" customHeight="1" x14ac:dyDescent="0.2">
      <c r="A359" s="198">
        <v>23</v>
      </c>
      <c r="B359" s="199" t="s">
        <v>399</v>
      </c>
      <c r="C359" s="185" t="s">
        <v>1</v>
      </c>
      <c r="D359" s="186" t="s">
        <v>59</v>
      </c>
      <c r="E359" s="186" t="s">
        <v>59</v>
      </c>
      <c r="F359" s="187" t="s">
        <v>59</v>
      </c>
      <c r="G359" s="187" t="s">
        <v>59</v>
      </c>
      <c r="H359" s="187"/>
      <c r="I359" s="186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si="131"/>
        <v>John Anthony Brooks</v>
      </c>
    </row>
    <row r="360" spans="1:28" s="113" customFormat="1" ht="10.5" customHeight="1" x14ac:dyDescent="0.2">
      <c r="A360" s="198">
        <v>25</v>
      </c>
      <c r="B360" s="199" t="s">
        <v>158</v>
      </c>
      <c r="C360" s="185" t="s">
        <v>1</v>
      </c>
      <c r="D360" s="186" t="s">
        <v>59</v>
      </c>
      <c r="E360" s="186" t="s">
        <v>59</v>
      </c>
      <c r="F360" s="187" t="s">
        <v>59</v>
      </c>
      <c r="G360" s="187" t="s">
        <v>59</v>
      </c>
      <c r="H360" s="187"/>
      <c r="I360" s="186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ref="AB360" si="133">B360</f>
        <v>Kevin Akpoguma</v>
      </c>
    </row>
    <row r="361" spans="1:28" s="113" customFormat="1" ht="10.5" customHeight="1" x14ac:dyDescent="0.2">
      <c r="A361" s="198">
        <v>34</v>
      </c>
      <c r="B361" s="199" t="s">
        <v>375</v>
      </c>
      <c r="C361" s="185" t="s">
        <v>1</v>
      </c>
      <c r="D361" s="186" t="s">
        <v>59</v>
      </c>
      <c r="E361" s="186" t="s">
        <v>59</v>
      </c>
      <c r="F361" s="187" t="s">
        <v>59</v>
      </c>
      <c r="G361" s="187" t="s">
        <v>59</v>
      </c>
      <c r="H361" s="187"/>
      <c r="I361" s="186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si="131"/>
        <v>Stanley Nsoki (A)</v>
      </c>
    </row>
    <row r="362" spans="1:28" s="113" customFormat="1" ht="10.5" customHeight="1" x14ac:dyDescent="0.2">
      <c r="A362" s="200">
        <v>6</v>
      </c>
      <c r="B362" s="190" t="s">
        <v>211</v>
      </c>
      <c r="C362" s="190" t="s">
        <v>2</v>
      </c>
      <c r="D362" s="191" t="s">
        <v>59</v>
      </c>
      <c r="E362" s="191" t="s">
        <v>59</v>
      </c>
      <c r="F362" s="192" t="s">
        <v>59</v>
      </c>
      <c r="G362" s="192" t="s">
        <v>59</v>
      </c>
      <c r="H362" s="192"/>
      <c r="I362" s="191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ref="AB362:AB364" si="134">B362</f>
        <v>Grischa Prömel</v>
      </c>
    </row>
    <row r="363" spans="1:28" s="113" customFormat="1" ht="10.5" customHeight="1" x14ac:dyDescent="0.2">
      <c r="A363" s="200">
        <v>8</v>
      </c>
      <c r="B363" s="190" t="s">
        <v>143</v>
      </c>
      <c r="C363" s="190" t="s">
        <v>2</v>
      </c>
      <c r="D363" s="191" t="s">
        <v>59</v>
      </c>
      <c r="E363" s="191" t="s">
        <v>59</v>
      </c>
      <c r="F363" s="192" t="s">
        <v>59</v>
      </c>
      <c r="G363" s="192" t="s">
        <v>59</v>
      </c>
      <c r="H363" s="192"/>
      <c r="I363" s="191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4"/>
        <v>Dennis Geiger</v>
      </c>
    </row>
    <row r="364" spans="1:28" s="113" customFormat="1" ht="10.5" customHeight="1" x14ac:dyDescent="0.2">
      <c r="A364" s="200">
        <v>11</v>
      </c>
      <c r="B364" s="190" t="s">
        <v>466</v>
      </c>
      <c r="C364" s="190" t="s">
        <v>2</v>
      </c>
      <c r="D364" s="191" t="s">
        <v>59</v>
      </c>
      <c r="E364" s="191" t="s">
        <v>59</v>
      </c>
      <c r="F364" s="192" t="s">
        <v>59</v>
      </c>
      <c r="G364" s="192" t="s">
        <v>59</v>
      </c>
      <c r="H364" s="192"/>
      <c r="I364" s="191"/>
      <c r="J364" s="181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si="134"/>
        <v>Florian Grillitsch (A)</v>
      </c>
    </row>
    <row r="365" spans="1:28" s="113" customFormat="1" ht="10.5" customHeight="1" x14ac:dyDescent="0.2">
      <c r="A365" s="200">
        <v>16</v>
      </c>
      <c r="B365" s="190" t="s">
        <v>288</v>
      </c>
      <c r="C365" s="190" t="s">
        <v>2</v>
      </c>
      <c r="D365" s="191" t="s">
        <v>59</v>
      </c>
      <c r="E365" s="191" t="s">
        <v>59</v>
      </c>
      <c r="F365" s="192" t="s">
        <v>59</v>
      </c>
      <c r="G365" s="192" t="s">
        <v>59</v>
      </c>
      <c r="H365" s="192"/>
      <c r="I365" s="191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ref="AB365" si="135">B365</f>
        <v>Anton Stach</v>
      </c>
    </row>
    <row r="366" spans="1:28" s="113" customFormat="1" ht="10.5" customHeight="1" x14ac:dyDescent="0.2">
      <c r="A366" s="200">
        <v>18</v>
      </c>
      <c r="B366" s="190" t="s">
        <v>597</v>
      </c>
      <c r="C366" s="190" t="s">
        <v>2</v>
      </c>
      <c r="D366" s="191" t="s">
        <v>59</v>
      </c>
      <c r="E366" s="191" t="s">
        <v>59</v>
      </c>
      <c r="F366" s="192" t="s">
        <v>59</v>
      </c>
      <c r="G366" s="192" t="s">
        <v>59</v>
      </c>
      <c r="H366" s="192"/>
      <c r="I366" s="191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ref="AB366:AB369" si="136">B366</f>
        <v>Diadie Samassékou (A)</v>
      </c>
    </row>
    <row r="367" spans="1:28" s="113" customFormat="1" ht="10.5" customHeight="1" x14ac:dyDescent="0.2">
      <c r="A367" s="200">
        <v>20</v>
      </c>
      <c r="B367" s="190" t="s">
        <v>346</v>
      </c>
      <c r="C367" s="190" t="s">
        <v>2</v>
      </c>
      <c r="D367" s="191" t="s">
        <v>59</v>
      </c>
      <c r="E367" s="191" t="s">
        <v>59</v>
      </c>
      <c r="F367" s="192" t="s">
        <v>59</v>
      </c>
      <c r="G367" s="192" t="s">
        <v>59</v>
      </c>
      <c r="H367" s="192"/>
      <c r="I367" s="191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si="136"/>
        <v>Finn Ole Becker</v>
      </c>
    </row>
    <row r="368" spans="1:28" s="113" customFormat="1" ht="10.5" customHeight="1" x14ac:dyDescent="0.2">
      <c r="A368" s="200">
        <v>24</v>
      </c>
      <c r="B368" s="190" t="s">
        <v>468</v>
      </c>
      <c r="C368" s="190" t="s">
        <v>2</v>
      </c>
      <c r="D368" s="191" t="s">
        <v>59</v>
      </c>
      <c r="E368" s="191" t="s">
        <v>59</v>
      </c>
      <c r="F368" s="192" t="s">
        <v>59</v>
      </c>
      <c r="G368" s="192" t="s">
        <v>59</v>
      </c>
      <c r="H368" s="192"/>
      <c r="I368" s="191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si="136"/>
        <v>Marco John</v>
      </c>
    </row>
    <row r="369" spans="1:28" s="113" customFormat="1" ht="10.5" customHeight="1" x14ac:dyDescent="0.2">
      <c r="A369" s="200">
        <v>31</v>
      </c>
      <c r="B369" s="190" t="s">
        <v>618</v>
      </c>
      <c r="C369" s="190" t="s">
        <v>2</v>
      </c>
      <c r="D369" s="191" t="s">
        <v>59</v>
      </c>
      <c r="E369" s="191" t="s">
        <v>59</v>
      </c>
      <c r="F369" s="192" t="s">
        <v>59</v>
      </c>
      <c r="G369" s="192" t="s">
        <v>59</v>
      </c>
      <c r="H369" s="192"/>
      <c r="I369" s="191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 t="shared" si="136"/>
        <v>Bambasé Conté</v>
      </c>
    </row>
    <row r="370" spans="1:28" s="113" customFormat="1" ht="10.5" customHeight="1" x14ac:dyDescent="0.2">
      <c r="A370" s="200">
        <v>39</v>
      </c>
      <c r="B370" s="190" t="s">
        <v>283</v>
      </c>
      <c r="C370" s="190" t="s">
        <v>2</v>
      </c>
      <c r="D370" s="191" t="s">
        <v>59</v>
      </c>
      <c r="E370" s="191" t="s">
        <v>59</v>
      </c>
      <c r="F370" s="192" t="s">
        <v>59</v>
      </c>
      <c r="G370" s="192" t="s">
        <v>59</v>
      </c>
      <c r="H370" s="192"/>
      <c r="I370" s="191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:AB372" si="137">B370</f>
        <v>Tom Bischof</v>
      </c>
    </row>
    <row r="371" spans="1:28" s="113" customFormat="1" ht="10.5" customHeight="1" x14ac:dyDescent="0.2">
      <c r="A371" s="200">
        <v>40</v>
      </c>
      <c r="B371" s="190" t="s">
        <v>400</v>
      </c>
      <c r="C371" s="190" t="s">
        <v>2</v>
      </c>
      <c r="D371" s="191" t="s">
        <v>59</v>
      </c>
      <c r="E371" s="191" t="s">
        <v>59</v>
      </c>
      <c r="F371" s="192" t="s">
        <v>59</v>
      </c>
      <c r="G371" s="192" t="s">
        <v>59</v>
      </c>
      <c r="H371" s="192"/>
      <c r="I371" s="191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7"/>
        <v>Umut Tohumcu</v>
      </c>
    </row>
    <row r="372" spans="1:28" s="113" customFormat="1" ht="10.5" customHeight="1" x14ac:dyDescent="0.2">
      <c r="A372" s="201">
        <v>7</v>
      </c>
      <c r="B372" s="195" t="s">
        <v>612</v>
      </c>
      <c r="C372" s="195" t="s">
        <v>3</v>
      </c>
      <c r="D372" s="196" t="s">
        <v>59</v>
      </c>
      <c r="E372" s="196" t="s">
        <v>59</v>
      </c>
      <c r="F372" s="196" t="s">
        <v>59</v>
      </c>
      <c r="G372" s="196" t="s">
        <v>59</v>
      </c>
      <c r="H372" s="197"/>
      <c r="I372" s="19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7"/>
        <v>Mërgim Berisha</v>
      </c>
    </row>
    <row r="373" spans="1:28" s="113" customFormat="1" ht="10.5" customHeight="1" x14ac:dyDescent="0.2">
      <c r="A373" s="201">
        <v>9</v>
      </c>
      <c r="B373" s="195" t="s">
        <v>192</v>
      </c>
      <c r="C373" s="195" t="s">
        <v>3</v>
      </c>
      <c r="D373" s="196" t="s">
        <v>59</v>
      </c>
      <c r="E373" s="196" t="s">
        <v>59</v>
      </c>
      <c r="F373" s="196" t="s">
        <v>59</v>
      </c>
      <c r="G373" s="196" t="s">
        <v>59</v>
      </c>
      <c r="H373" s="197"/>
      <c r="I373" s="196"/>
      <c r="J373" s="181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72"/>
      <c r="AB373" s="175" t="str">
        <f t="shared" ref="AB373" si="138">B373</f>
        <v>Ihlas Bebou (A)</v>
      </c>
    </row>
    <row r="374" spans="1:28" s="113" customFormat="1" ht="10.5" customHeight="1" x14ac:dyDescent="0.2">
      <c r="A374" s="201">
        <v>10</v>
      </c>
      <c r="B374" s="195" t="s">
        <v>469</v>
      </c>
      <c r="C374" s="195" t="s">
        <v>3</v>
      </c>
      <c r="D374" s="196" t="s">
        <v>59</v>
      </c>
      <c r="E374" s="196" t="s">
        <v>59</v>
      </c>
      <c r="F374" s="196" t="s">
        <v>59</v>
      </c>
      <c r="G374" s="196" t="s">
        <v>59</v>
      </c>
      <c r="H374" s="197"/>
      <c r="I374" s="196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ref="AB374:AB378" si="139">B374</f>
        <v>Wout Weghorst (A)</v>
      </c>
    </row>
    <row r="375" spans="1:28" s="113" customFormat="1" ht="10.5" customHeight="1" x14ac:dyDescent="0.2">
      <c r="A375" s="201">
        <v>14</v>
      </c>
      <c r="B375" s="195" t="s">
        <v>470</v>
      </c>
      <c r="C375" s="195" t="s">
        <v>3</v>
      </c>
      <c r="D375" s="196" t="s">
        <v>59</v>
      </c>
      <c r="E375" s="196" t="s">
        <v>59</v>
      </c>
      <c r="F375" s="196" t="s">
        <v>59</v>
      </c>
      <c r="G375" s="196" t="s">
        <v>59</v>
      </c>
      <c r="H375" s="197"/>
      <c r="I375" s="196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si="139"/>
        <v>Maximilian Beier</v>
      </c>
    </row>
    <row r="376" spans="1:28" s="113" customFormat="1" ht="10.5" customHeight="1" x14ac:dyDescent="0.2">
      <c r="A376" s="201">
        <v>21</v>
      </c>
      <c r="B376" s="195" t="s">
        <v>360</v>
      </c>
      <c r="C376" s="195" t="s">
        <v>3</v>
      </c>
      <c r="D376" s="196" t="s">
        <v>59</v>
      </c>
      <c r="E376" s="196" t="s">
        <v>59</v>
      </c>
      <c r="F376" s="196" t="s">
        <v>59</v>
      </c>
      <c r="G376" s="196" t="s">
        <v>59</v>
      </c>
      <c r="H376" s="197"/>
      <c r="I376" s="196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40">B376</f>
        <v>Marius Bülter</v>
      </c>
    </row>
    <row r="377" spans="1:28" s="113" customFormat="1" ht="10.5" customHeight="1" x14ac:dyDescent="0.2">
      <c r="A377" s="201">
        <v>27</v>
      </c>
      <c r="B377" s="195" t="s">
        <v>596</v>
      </c>
      <c r="C377" s="195" t="s">
        <v>3</v>
      </c>
      <c r="D377" s="196" t="s">
        <v>59</v>
      </c>
      <c r="E377" s="196" t="s">
        <v>59</v>
      </c>
      <c r="F377" s="196" t="s">
        <v>59</v>
      </c>
      <c r="G377" s="196" t="s">
        <v>59</v>
      </c>
      <c r="H377" s="197"/>
      <c r="I377" s="196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si="139"/>
        <v>Andrej Kramarić (A)</v>
      </c>
    </row>
    <row r="378" spans="1:28" s="113" customFormat="1" ht="10.5" customHeight="1" x14ac:dyDescent="0.2">
      <c r="A378" s="201">
        <v>29</v>
      </c>
      <c r="B378" s="195" t="s">
        <v>193</v>
      </c>
      <c r="C378" s="195" t="s">
        <v>3</v>
      </c>
      <c r="D378" s="196" t="s">
        <v>59</v>
      </c>
      <c r="E378" s="196" t="s">
        <v>59</v>
      </c>
      <c r="F378" s="196" t="s">
        <v>59</v>
      </c>
      <c r="G378" s="196" t="s">
        <v>59</v>
      </c>
      <c r="H378" s="197"/>
      <c r="I378" s="196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 t="shared" si="139"/>
        <v>Robert Skov (A)</v>
      </c>
    </row>
    <row r="379" spans="1:28" ht="15" customHeight="1" thickBot="1" x14ac:dyDescent="0.25">
      <c r="A379" s="220" t="s">
        <v>323</v>
      </c>
      <c r="B379" s="220"/>
      <c r="C379" s="220"/>
      <c r="D379" s="220"/>
      <c r="E379" s="220"/>
      <c r="F379" s="220"/>
      <c r="G379" s="220"/>
      <c r="H379" s="220"/>
      <c r="I379" s="220"/>
      <c r="J379" s="10"/>
      <c r="K379" s="176">
        <v>12</v>
      </c>
      <c r="L379" s="176">
        <v>12</v>
      </c>
      <c r="M379" s="176">
        <v>12</v>
      </c>
      <c r="N379" s="176">
        <v>12</v>
      </c>
      <c r="O379" s="176">
        <v>12</v>
      </c>
      <c r="P379" s="176">
        <v>12</v>
      </c>
      <c r="Q379" s="176">
        <v>12</v>
      </c>
      <c r="R379" s="176">
        <v>12</v>
      </c>
      <c r="S379" s="176">
        <v>12</v>
      </c>
      <c r="T379" s="176">
        <v>12</v>
      </c>
      <c r="U379" s="176">
        <v>12</v>
      </c>
      <c r="V379" s="176">
        <v>12</v>
      </c>
      <c r="W379" s="176">
        <v>12</v>
      </c>
      <c r="X379" s="176">
        <v>12</v>
      </c>
      <c r="Y379" s="176">
        <v>12</v>
      </c>
      <c r="Z379" s="217"/>
      <c r="AB379" s="175" t="str">
        <f>A379</f>
        <v>SV Werder Bremen</v>
      </c>
    </row>
    <row r="380" spans="1:28" s="113" customFormat="1" ht="10.5" customHeight="1" x14ac:dyDescent="0.2">
      <c r="A380" s="177">
        <v>1</v>
      </c>
      <c r="B380" s="178" t="s">
        <v>361</v>
      </c>
      <c r="C380" s="178" t="s">
        <v>0</v>
      </c>
      <c r="D380" s="179" t="s">
        <v>59</v>
      </c>
      <c r="E380" s="179" t="s">
        <v>59</v>
      </c>
      <c r="F380" s="180" t="s">
        <v>59</v>
      </c>
      <c r="G380" s="180" t="s">
        <v>59</v>
      </c>
      <c r="H380" s="180"/>
      <c r="I380" s="179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ref="AB380" si="141">B380</f>
        <v>Jiri Pavlenka (A)</v>
      </c>
    </row>
    <row r="381" spans="1:28" s="113" customFormat="1" ht="10.5" customHeight="1" x14ac:dyDescent="0.2">
      <c r="A381" s="177">
        <v>30</v>
      </c>
      <c r="B381" s="178" t="s">
        <v>362</v>
      </c>
      <c r="C381" s="178" t="s">
        <v>0</v>
      </c>
      <c r="D381" s="179" t="s">
        <v>59</v>
      </c>
      <c r="E381" s="179" t="s">
        <v>59</v>
      </c>
      <c r="F381" s="180" t="s">
        <v>59</v>
      </c>
      <c r="G381" s="180" t="s">
        <v>59</v>
      </c>
      <c r="H381" s="180"/>
      <c r="I381" s="179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ref="AB381:AB383" si="142">B381</f>
        <v>Michael Zetterer</v>
      </c>
    </row>
    <row r="382" spans="1:28" s="113" customFormat="1" ht="10.5" customHeight="1" x14ac:dyDescent="0.2">
      <c r="A382" s="177">
        <v>37</v>
      </c>
      <c r="B382" s="178" t="s">
        <v>646</v>
      </c>
      <c r="C382" s="178" t="s">
        <v>0</v>
      </c>
      <c r="D382" s="179" t="s">
        <v>59</v>
      </c>
      <c r="E382" s="179" t="s">
        <v>59</v>
      </c>
      <c r="F382" s="180" t="s">
        <v>59</v>
      </c>
      <c r="G382" s="180" t="s">
        <v>59</v>
      </c>
      <c r="H382" s="180"/>
      <c r="I382" s="179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ref="AB382" si="143">B382</f>
        <v>Spyros Angelidis (A)</v>
      </c>
    </row>
    <row r="383" spans="1:28" s="113" customFormat="1" ht="10.5" customHeight="1" x14ac:dyDescent="0.2">
      <c r="A383" s="177">
        <v>38</v>
      </c>
      <c r="B383" s="178" t="s">
        <v>363</v>
      </c>
      <c r="C383" s="178" t="s">
        <v>0</v>
      </c>
      <c r="D383" s="179" t="s">
        <v>59</v>
      </c>
      <c r="E383" s="179" t="s">
        <v>59</v>
      </c>
      <c r="F383" s="180" t="s">
        <v>59</v>
      </c>
      <c r="G383" s="180" t="s">
        <v>59</v>
      </c>
      <c r="H383" s="180"/>
      <c r="I383" s="179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si="142"/>
        <v>Eduardo dos Santos Haesler</v>
      </c>
    </row>
    <row r="384" spans="1:28" s="113" customFormat="1" ht="10.5" customHeight="1" x14ac:dyDescent="0.2">
      <c r="A384" s="198">
        <v>2</v>
      </c>
      <c r="B384" s="199" t="s">
        <v>619</v>
      </c>
      <c r="C384" s="185" t="s">
        <v>1</v>
      </c>
      <c r="D384" s="186" t="s">
        <v>59</v>
      </c>
      <c r="E384" s="186" t="s">
        <v>59</v>
      </c>
      <c r="F384" s="187" t="s">
        <v>59</v>
      </c>
      <c r="G384" s="187" t="s">
        <v>59</v>
      </c>
      <c r="H384" s="187"/>
      <c r="I384" s="18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>B384</f>
        <v>Olivier Deman (A)</v>
      </c>
    </row>
    <row r="385" spans="1:28" s="113" customFormat="1" ht="10.5" customHeight="1" x14ac:dyDescent="0.2">
      <c r="A385" s="198">
        <v>3</v>
      </c>
      <c r="B385" s="199" t="s">
        <v>364</v>
      </c>
      <c r="C385" s="185" t="s">
        <v>1</v>
      </c>
      <c r="D385" s="186" t="s">
        <v>59</v>
      </c>
      <c r="E385" s="186" t="s">
        <v>59</v>
      </c>
      <c r="F385" s="187" t="s">
        <v>59</v>
      </c>
      <c r="G385" s="187" t="s">
        <v>59</v>
      </c>
      <c r="H385" s="187"/>
      <c r="I385" s="18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>B385</f>
        <v>Anthony Jung</v>
      </c>
    </row>
    <row r="386" spans="1:28" s="113" customFormat="1" ht="10.5" customHeight="1" x14ac:dyDescent="0.2">
      <c r="A386" s="198">
        <v>4</v>
      </c>
      <c r="B386" s="199" t="s">
        <v>144</v>
      </c>
      <c r="C386" s="185" t="s">
        <v>1</v>
      </c>
      <c r="D386" s="186" t="s">
        <v>59</v>
      </c>
      <c r="E386" s="186" t="s">
        <v>59</v>
      </c>
      <c r="F386" s="187" t="s">
        <v>59</v>
      </c>
      <c r="G386" s="187" t="s">
        <v>59</v>
      </c>
      <c r="H386" s="187"/>
      <c r="I386" s="18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ref="AB386:AB393" si="144">B386</f>
        <v>Niklas Stark</v>
      </c>
    </row>
    <row r="387" spans="1:28" s="113" customFormat="1" ht="10.5" customHeight="1" x14ac:dyDescent="0.2">
      <c r="A387" s="198">
        <v>5</v>
      </c>
      <c r="B387" s="199" t="s">
        <v>239</v>
      </c>
      <c r="C387" s="185" t="s">
        <v>1</v>
      </c>
      <c r="D387" s="186" t="s">
        <v>59</v>
      </c>
      <c r="E387" s="186" t="s">
        <v>59</v>
      </c>
      <c r="F387" s="187" t="s">
        <v>59</v>
      </c>
      <c r="G387" s="187" t="s">
        <v>59</v>
      </c>
      <c r="H387" s="187"/>
      <c r="I387" s="18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si="144"/>
        <v>Amos Pieper</v>
      </c>
    </row>
    <row r="388" spans="1:28" s="113" customFormat="1" ht="10.5" customHeight="1" x14ac:dyDescent="0.2">
      <c r="A388" s="198">
        <v>8</v>
      </c>
      <c r="B388" s="199" t="s">
        <v>365</v>
      </c>
      <c r="C388" s="185" t="s">
        <v>1</v>
      </c>
      <c r="D388" s="186" t="s">
        <v>59</v>
      </c>
      <c r="E388" s="186" t="s">
        <v>59</v>
      </c>
      <c r="F388" s="187" t="s">
        <v>59</v>
      </c>
      <c r="G388" s="187" t="s">
        <v>59</v>
      </c>
      <c r="H388" s="187"/>
      <c r="I388" s="18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si="144"/>
        <v>Mitchell Weiser</v>
      </c>
    </row>
    <row r="389" spans="1:28" s="113" customFormat="1" ht="10.5" customHeight="1" x14ac:dyDescent="0.2">
      <c r="A389" s="198">
        <v>13</v>
      </c>
      <c r="B389" s="199" t="s">
        <v>606</v>
      </c>
      <c r="C389" s="185" t="s">
        <v>1</v>
      </c>
      <c r="D389" s="186" t="s">
        <v>59</v>
      </c>
      <c r="E389" s="186" t="s">
        <v>59</v>
      </c>
      <c r="F389" s="187" t="s">
        <v>59</v>
      </c>
      <c r="G389" s="187" t="s">
        <v>59</v>
      </c>
      <c r="H389" s="187"/>
      <c r="I389" s="186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si="144"/>
        <v>Miloš Veljković (A)</v>
      </c>
    </row>
    <row r="390" spans="1:28" s="113" customFormat="1" ht="10.5" customHeight="1" x14ac:dyDescent="0.2">
      <c r="A390" s="198">
        <v>22</v>
      </c>
      <c r="B390" s="199" t="s">
        <v>662</v>
      </c>
      <c r="C390" s="185" t="s">
        <v>1</v>
      </c>
      <c r="D390" s="186" t="s">
        <v>59</v>
      </c>
      <c r="E390" s="186" t="s">
        <v>59</v>
      </c>
      <c r="F390" s="187" t="s">
        <v>59</v>
      </c>
      <c r="G390" s="187" t="s">
        <v>59</v>
      </c>
      <c r="H390" s="187"/>
      <c r="I390" s="186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" si="145">B390</f>
        <v>Julián Malatini (A)</v>
      </c>
    </row>
    <row r="391" spans="1:28" s="113" customFormat="1" ht="10.5" customHeight="1" x14ac:dyDescent="0.2">
      <c r="A391" s="198">
        <v>27</v>
      </c>
      <c r="B391" s="199" t="s">
        <v>366</v>
      </c>
      <c r="C391" s="185" t="s">
        <v>1</v>
      </c>
      <c r="D391" s="186" t="s">
        <v>59</v>
      </c>
      <c r="E391" s="186" t="s">
        <v>59</v>
      </c>
      <c r="F391" s="187" t="s">
        <v>59</v>
      </c>
      <c r="G391" s="187" t="s">
        <v>59</v>
      </c>
      <c r="H391" s="187"/>
      <c r="I391" s="186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si="144"/>
        <v>Felix Agu</v>
      </c>
    </row>
    <row r="392" spans="1:28" s="113" customFormat="1" ht="10.5" customHeight="1" x14ac:dyDescent="0.2">
      <c r="A392" s="198">
        <v>32</v>
      </c>
      <c r="B392" s="199" t="s">
        <v>367</v>
      </c>
      <c r="C392" s="185" t="s">
        <v>1</v>
      </c>
      <c r="D392" s="186" t="s">
        <v>59</v>
      </c>
      <c r="E392" s="186" t="s">
        <v>59</v>
      </c>
      <c r="F392" s="187" t="s">
        <v>59</v>
      </c>
      <c r="G392" s="187" t="s">
        <v>59</v>
      </c>
      <c r="H392" s="187"/>
      <c r="I392" s="186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si="144"/>
        <v>Marco Friedl (A)</v>
      </c>
    </row>
    <row r="393" spans="1:28" s="113" customFormat="1" ht="10.5" customHeight="1" x14ac:dyDescent="0.2">
      <c r="A393" s="198">
        <v>36</v>
      </c>
      <c r="B393" s="199" t="s">
        <v>368</v>
      </c>
      <c r="C393" s="185" t="s">
        <v>1</v>
      </c>
      <c r="D393" s="186" t="s">
        <v>59</v>
      </c>
      <c r="E393" s="186" t="s">
        <v>59</v>
      </c>
      <c r="F393" s="187" t="s">
        <v>59</v>
      </c>
      <c r="G393" s="187" t="s">
        <v>59</v>
      </c>
      <c r="H393" s="187"/>
      <c r="I393" s="186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si="144"/>
        <v>Christian Gross</v>
      </c>
    </row>
    <row r="394" spans="1:28" s="113" customFormat="1" ht="10.5" customHeight="1" x14ac:dyDescent="0.2">
      <c r="A394" s="198">
        <v>40</v>
      </c>
      <c r="B394" s="199" t="s">
        <v>647</v>
      </c>
      <c r="C394" s="185" t="s">
        <v>1</v>
      </c>
      <c r="D394" s="186" t="s">
        <v>59</v>
      </c>
      <c r="E394" s="186" t="s">
        <v>59</v>
      </c>
      <c r="F394" s="187" t="s">
        <v>59</v>
      </c>
      <c r="G394" s="187" t="s">
        <v>59</v>
      </c>
      <c r="H394" s="187"/>
      <c r="I394" s="186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ref="AB394" si="146">B394</f>
        <v>Cimo Röcker</v>
      </c>
    </row>
    <row r="395" spans="1:28" s="113" customFormat="1" ht="10.5" customHeight="1" x14ac:dyDescent="0.2">
      <c r="A395" s="188">
        <v>6</v>
      </c>
      <c r="B395" s="189" t="s">
        <v>370</v>
      </c>
      <c r="C395" s="190" t="s">
        <v>2</v>
      </c>
      <c r="D395" s="191" t="s">
        <v>59</v>
      </c>
      <c r="E395" s="191" t="s">
        <v>59</v>
      </c>
      <c r="F395" s="192" t="s">
        <v>59</v>
      </c>
      <c r="G395" s="192" t="s">
        <v>59</v>
      </c>
      <c r="H395" s="192"/>
      <c r="I395" s="191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 t="shared" ref="AB395" si="147">B395</f>
        <v>Jens Stage (A)</v>
      </c>
    </row>
    <row r="396" spans="1:28" s="113" customFormat="1" ht="10.5" customHeight="1" x14ac:dyDescent="0.2">
      <c r="A396" s="188">
        <v>10</v>
      </c>
      <c r="B396" s="189" t="s">
        <v>371</v>
      </c>
      <c r="C396" s="190" t="s">
        <v>2</v>
      </c>
      <c r="D396" s="191" t="s">
        <v>59</v>
      </c>
      <c r="E396" s="191" t="s">
        <v>59</v>
      </c>
      <c r="F396" s="192" t="s">
        <v>59</v>
      </c>
      <c r="G396" s="192" t="s">
        <v>59</v>
      </c>
      <c r="H396" s="192"/>
      <c r="I396" s="191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:AB398" si="148">B396</f>
        <v>Leonardo Bittencourt</v>
      </c>
    </row>
    <row r="397" spans="1:28" s="113" customFormat="1" ht="10.5" customHeight="1" x14ac:dyDescent="0.2">
      <c r="A397" s="188">
        <v>14</v>
      </c>
      <c r="B397" s="189" t="s">
        <v>471</v>
      </c>
      <c r="C397" s="190" t="s">
        <v>2</v>
      </c>
      <c r="D397" s="191" t="s">
        <v>59</v>
      </c>
      <c r="E397" s="191" t="s">
        <v>59</v>
      </c>
      <c r="F397" s="192" t="s">
        <v>59</v>
      </c>
      <c r="G397" s="192" t="s">
        <v>59</v>
      </c>
      <c r="H397" s="192"/>
      <c r="I397" s="191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si="148"/>
        <v>Senne Lynen (A)</v>
      </c>
    </row>
    <row r="398" spans="1:28" s="113" customFormat="1" ht="10.5" customHeight="1" x14ac:dyDescent="0.2">
      <c r="A398" s="188">
        <v>18</v>
      </c>
      <c r="B398" s="189" t="s">
        <v>472</v>
      </c>
      <c r="C398" s="190" t="s">
        <v>2</v>
      </c>
      <c r="D398" s="191" t="s">
        <v>59</v>
      </c>
      <c r="E398" s="191" t="s">
        <v>59</v>
      </c>
      <c r="F398" s="192" t="s">
        <v>59</v>
      </c>
      <c r="G398" s="192" t="s">
        <v>59</v>
      </c>
      <c r="H398" s="192"/>
      <c r="I398" s="191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si="148"/>
        <v>Naby Keita (A)</v>
      </c>
    </row>
    <row r="399" spans="1:28" s="113" customFormat="1" ht="10.5" customHeight="1" x14ac:dyDescent="0.2">
      <c r="A399" s="188">
        <v>20</v>
      </c>
      <c r="B399" s="189" t="s">
        <v>372</v>
      </c>
      <c r="C399" s="190" t="s">
        <v>2</v>
      </c>
      <c r="D399" s="191" t="s">
        <v>59</v>
      </c>
      <c r="E399" s="191" t="s">
        <v>59</v>
      </c>
      <c r="F399" s="192" t="s">
        <v>59</v>
      </c>
      <c r="G399" s="192" t="s">
        <v>59</v>
      </c>
      <c r="H399" s="192"/>
      <c r="I399" s="191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ref="AB399" si="149">B399</f>
        <v>Romano Schmid (A)</v>
      </c>
    </row>
    <row r="400" spans="1:28" s="113" customFormat="1" ht="10.5" customHeight="1" x14ac:dyDescent="0.2">
      <c r="A400" s="188">
        <v>35</v>
      </c>
      <c r="B400" s="189" t="s">
        <v>553</v>
      </c>
      <c r="C400" s="190" t="s">
        <v>2</v>
      </c>
      <c r="D400" s="191" t="s">
        <v>59</v>
      </c>
      <c r="E400" s="191" t="s">
        <v>59</v>
      </c>
      <c r="F400" s="192" t="s">
        <v>59</v>
      </c>
      <c r="G400" s="192" t="s">
        <v>59</v>
      </c>
      <c r="H400" s="192"/>
      <c r="I400" s="191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 t="shared" ref="AB400" si="150">B400</f>
        <v>Leon Opitz</v>
      </c>
    </row>
    <row r="401" spans="1:28" s="113" customFormat="1" ht="10.5" customHeight="1" x14ac:dyDescent="0.2">
      <c r="A401" s="193">
        <v>7</v>
      </c>
      <c r="B401" s="194" t="s">
        <v>373</v>
      </c>
      <c r="C401" s="195" t="s">
        <v>3</v>
      </c>
      <c r="D401" s="196" t="s">
        <v>59</v>
      </c>
      <c r="E401" s="196" t="s">
        <v>59</v>
      </c>
      <c r="F401" s="197" t="s">
        <v>59</v>
      </c>
      <c r="G401" s="197" t="s">
        <v>59</v>
      </c>
      <c r="H401" s="197"/>
      <c r="I401" s="19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ref="AB401:AB403" si="151">B401</f>
        <v>Marvin Ducksch</v>
      </c>
    </row>
    <row r="402" spans="1:28" s="113" customFormat="1" ht="10.5" customHeight="1" x14ac:dyDescent="0.2">
      <c r="A402" s="193">
        <v>9</v>
      </c>
      <c r="B402" s="194" t="s">
        <v>473</v>
      </c>
      <c r="C402" s="195" t="s">
        <v>3</v>
      </c>
      <c r="D402" s="196" t="s">
        <v>59</v>
      </c>
      <c r="E402" s="196" t="s">
        <v>59</v>
      </c>
      <c r="F402" s="197" t="s">
        <v>59</v>
      </c>
      <c r="G402" s="197" t="s">
        <v>59</v>
      </c>
      <c r="H402" s="197"/>
      <c r="I402" s="196"/>
      <c r="J402" s="181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72"/>
      <c r="AB402" s="175" t="str">
        <f t="shared" si="151"/>
        <v>Dawid Kownacki (A)</v>
      </c>
    </row>
    <row r="403" spans="1:28" s="113" customFormat="1" ht="10.5" customHeight="1" x14ac:dyDescent="0.2">
      <c r="A403" s="193">
        <v>17</v>
      </c>
      <c r="B403" s="194" t="s">
        <v>474</v>
      </c>
      <c r="C403" s="195" t="s">
        <v>3</v>
      </c>
      <c r="D403" s="196" t="s">
        <v>59</v>
      </c>
      <c r="E403" s="196" t="s">
        <v>59</v>
      </c>
      <c r="F403" s="197" t="s">
        <v>59</v>
      </c>
      <c r="G403" s="197" t="s">
        <v>59</v>
      </c>
      <c r="H403" s="197"/>
      <c r="I403" s="196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si="151"/>
        <v>Justin Njinmah</v>
      </c>
    </row>
    <row r="404" spans="1:28" s="113" customFormat="1" ht="10.5" customHeight="1" x14ac:dyDescent="0.2">
      <c r="A404" s="193">
        <v>19</v>
      </c>
      <c r="B404" s="194" t="s">
        <v>585</v>
      </c>
      <c r="C404" s="195" t="s">
        <v>3</v>
      </c>
      <c r="D404" s="196" t="s">
        <v>59</v>
      </c>
      <c r="E404" s="196" t="s">
        <v>59</v>
      </c>
      <c r="F404" s="197" t="s">
        <v>59</v>
      </c>
      <c r="G404" s="197" t="s">
        <v>59</v>
      </c>
      <c r="H404" s="197"/>
      <c r="I404" s="196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>B404</f>
        <v>Rafael Borré (A)</v>
      </c>
    </row>
    <row r="405" spans="1:28" s="113" customFormat="1" ht="10.5" customHeight="1" x14ac:dyDescent="0.2">
      <c r="A405" s="193">
        <v>29</v>
      </c>
      <c r="B405" s="194" t="s">
        <v>475</v>
      </c>
      <c r="C405" s="195" t="s">
        <v>3</v>
      </c>
      <c r="D405" s="196" t="s">
        <v>59</v>
      </c>
      <c r="E405" s="196" t="s">
        <v>59</v>
      </c>
      <c r="F405" s="197" t="s">
        <v>59</v>
      </c>
      <c r="G405" s="197" t="s">
        <v>59</v>
      </c>
      <c r="H405" s="197"/>
      <c r="I405" s="196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ref="AB405" si="152">B405</f>
        <v>Nick Woltemade</v>
      </c>
    </row>
    <row r="406" spans="1:28" ht="15" customHeight="1" thickBot="1" x14ac:dyDescent="0.25">
      <c r="A406" s="219" t="s">
        <v>261</v>
      </c>
      <c r="B406" s="219"/>
      <c r="C406" s="219"/>
      <c r="D406" s="219"/>
      <c r="E406" s="219"/>
      <c r="F406" s="219"/>
      <c r="G406" s="219"/>
      <c r="H406" s="219"/>
      <c r="I406" s="219"/>
      <c r="J406" s="10"/>
      <c r="K406" s="176">
        <v>12</v>
      </c>
      <c r="L406" s="176">
        <v>12</v>
      </c>
      <c r="M406" s="176">
        <v>12</v>
      </c>
      <c r="N406" s="176">
        <v>12</v>
      </c>
      <c r="O406" s="176">
        <v>12</v>
      </c>
      <c r="P406" s="176">
        <v>12</v>
      </c>
      <c r="Q406" s="176">
        <v>12</v>
      </c>
      <c r="R406" s="176">
        <v>12</v>
      </c>
      <c r="S406" s="176">
        <v>12</v>
      </c>
      <c r="T406" s="176">
        <v>12</v>
      </c>
      <c r="U406" s="176">
        <v>12</v>
      </c>
      <c r="V406" s="176">
        <v>12</v>
      </c>
      <c r="W406" s="176">
        <v>12</v>
      </c>
      <c r="X406" s="176">
        <v>12</v>
      </c>
      <c r="Y406" s="176">
        <v>12</v>
      </c>
      <c r="Z406" s="217"/>
      <c r="AB406" s="175" t="str">
        <f>A406</f>
        <v>VfL Bochum</v>
      </c>
    </row>
    <row r="407" spans="1:28" s="113" customFormat="1" ht="10.5" customHeight="1" x14ac:dyDescent="0.2">
      <c r="A407" s="177">
        <v>1</v>
      </c>
      <c r="B407" s="178" t="s">
        <v>304</v>
      </c>
      <c r="C407" s="178" t="s">
        <v>0</v>
      </c>
      <c r="D407" s="179" t="s">
        <v>59</v>
      </c>
      <c r="E407" s="179" t="s">
        <v>59</v>
      </c>
      <c r="F407" s="180" t="s">
        <v>59</v>
      </c>
      <c r="G407" s="180" t="s">
        <v>59</v>
      </c>
      <c r="H407" s="180"/>
      <c r="I407" s="179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ref="AB407" si="153">B407</f>
        <v>Manuel Riemann</v>
      </c>
    </row>
    <row r="408" spans="1:28" s="113" customFormat="1" ht="10.5" customHeight="1" x14ac:dyDescent="0.2">
      <c r="A408" s="177">
        <v>21</v>
      </c>
      <c r="B408" s="178" t="s">
        <v>305</v>
      </c>
      <c r="C408" s="178" t="s">
        <v>0</v>
      </c>
      <c r="D408" s="179" t="s">
        <v>59</v>
      </c>
      <c r="E408" s="179" t="s">
        <v>59</v>
      </c>
      <c r="F408" s="180" t="s">
        <v>59</v>
      </c>
      <c r="G408" s="180" t="s">
        <v>59</v>
      </c>
      <c r="H408" s="180"/>
      <c r="I408" s="179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 t="shared" ref="AB408:AB409" si="154">B408</f>
        <v>Michael Esser</v>
      </c>
    </row>
    <row r="409" spans="1:28" s="113" customFormat="1" ht="10.5" customHeight="1" x14ac:dyDescent="0.2">
      <c r="A409" s="177">
        <v>23</v>
      </c>
      <c r="B409" s="178" t="s">
        <v>476</v>
      </c>
      <c r="C409" s="178" t="s">
        <v>0</v>
      </c>
      <c r="D409" s="179" t="s">
        <v>59</v>
      </c>
      <c r="E409" s="179" t="s">
        <v>59</v>
      </c>
      <c r="F409" s="180" t="s">
        <v>59</v>
      </c>
      <c r="G409" s="180" t="s">
        <v>59</v>
      </c>
      <c r="H409" s="180"/>
      <c r="I409" s="179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 t="shared" si="154"/>
        <v>Nicklas Thiede</v>
      </c>
    </row>
    <row r="410" spans="1:28" s="113" customFormat="1" ht="10.5" customHeight="1" x14ac:dyDescent="0.2">
      <c r="A410" s="177">
        <v>26</v>
      </c>
      <c r="B410" s="178" t="s">
        <v>674</v>
      </c>
      <c r="C410" s="178" t="s">
        <v>0</v>
      </c>
      <c r="D410" s="179" t="s">
        <v>59</v>
      </c>
      <c r="E410" s="179" t="s">
        <v>59</v>
      </c>
      <c r="F410" s="180" t="s">
        <v>59</v>
      </c>
      <c r="G410" s="180" t="s">
        <v>59</v>
      </c>
      <c r="H410" s="180"/>
      <c r="I410" s="179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 t="shared" ref="AB410" si="155">B410</f>
        <v>Andreas Luthe</v>
      </c>
    </row>
    <row r="411" spans="1:28" s="113" customFormat="1" ht="10.5" customHeight="1" x14ac:dyDescent="0.2">
      <c r="A411" s="198">
        <v>2</v>
      </c>
      <c r="B411" s="199" t="s">
        <v>302</v>
      </c>
      <c r="C411" s="185" t="s">
        <v>1</v>
      </c>
      <c r="D411" s="186" t="s">
        <v>59</v>
      </c>
      <c r="E411" s="186" t="s">
        <v>59</v>
      </c>
      <c r="F411" s="187" t="s">
        <v>59</v>
      </c>
      <c r="G411" s="187" t="s">
        <v>59</v>
      </c>
      <c r="H411" s="187"/>
      <c r="I411" s="18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ref="AB411" si="156">B411</f>
        <v>Cristian Gamboa (A)</v>
      </c>
    </row>
    <row r="412" spans="1:28" s="113" customFormat="1" ht="10.5" customHeight="1" x14ac:dyDescent="0.2">
      <c r="A412" s="198">
        <v>3</v>
      </c>
      <c r="B412" s="199" t="s">
        <v>554</v>
      </c>
      <c r="C412" s="185" t="s">
        <v>1</v>
      </c>
      <c r="D412" s="186" t="s">
        <v>59</v>
      </c>
      <c r="E412" s="186" t="s">
        <v>59</v>
      </c>
      <c r="F412" s="187" t="s">
        <v>59</v>
      </c>
      <c r="G412" s="187" t="s">
        <v>59</v>
      </c>
      <c r="H412" s="187"/>
      <c r="I412" s="186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>B412</f>
        <v>Danilo Soares (A)</v>
      </c>
    </row>
    <row r="413" spans="1:28" s="113" customFormat="1" ht="10.5" customHeight="1" x14ac:dyDescent="0.2">
      <c r="A413" s="198">
        <v>4</v>
      </c>
      <c r="B413" s="199" t="s">
        <v>604</v>
      </c>
      <c r="C413" s="185" t="s">
        <v>1</v>
      </c>
      <c r="D413" s="186" t="s">
        <v>59</v>
      </c>
      <c r="E413" s="186" t="s">
        <v>59</v>
      </c>
      <c r="F413" s="187" t="s">
        <v>59</v>
      </c>
      <c r="G413" s="187" t="s">
        <v>59</v>
      </c>
      <c r="H413" s="187"/>
      <c r="I413" s="186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>B413</f>
        <v>Erhan Mašović (A)</v>
      </c>
    </row>
    <row r="414" spans="1:28" s="113" customFormat="1" ht="10.5" customHeight="1" x14ac:dyDescent="0.2">
      <c r="A414" s="198">
        <v>5</v>
      </c>
      <c r="B414" s="199" t="s">
        <v>478</v>
      </c>
      <c r="C414" s="185" t="s">
        <v>1</v>
      </c>
      <c r="D414" s="186" t="s">
        <v>59</v>
      </c>
      <c r="E414" s="186" t="s">
        <v>59</v>
      </c>
      <c r="F414" s="187" t="s">
        <v>59</v>
      </c>
      <c r="G414" s="187" t="s">
        <v>59</v>
      </c>
      <c r="H414" s="187"/>
      <c r="I414" s="18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ref="AB414:AB415" si="157">B414</f>
        <v>Bernardo (A)</v>
      </c>
    </row>
    <row r="415" spans="1:28" s="113" customFormat="1" ht="10.5" customHeight="1" x14ac:dyDescent="0.2">
      <c r="A415" s="198">
        <v>14</v>
      </c>
      <c r="B415" s="199" t="s">
        <v>560</v>
      </c>
      <c r="C415" s="185" t="s">
        <v>1</v>
      </c>
      <c r="D415" s="186" t="s">
        <v>59</v>
      </c>
      <c r="E415" s="186" t="s">
        <v>59</v>
      </c>
      <c r="F415" s="187" t="s">
        <v>59</v>
      </c>
      <c r="G415" s="187" t="s">
        <v>59</v>
      </c>
      <c r="H415" s="187"/>
      <c r="I415" s="18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si="157"/>
        <v>Tim Oermann</v>
      </c>
    </row>
    <row r="416" spans="1:28" s="113" customFormat="1" ht="10.5" customHeight="1" x14ac:dyDescent="0.2">
      <c r="A416" s="198">
        <v>15</v>
      </c>
      <c r="B416" s="199" t="s">
        <v>479</v>
      </c>
      <c r="C416" s="185" t="s">
        <v>1</v>
      </c>
      <c r="D416" s="186" t="s">
        <v>59</v>
      </c>
      <c r="E416" s="186" t="s">
        <v>59</v>
      </c>
      <c r="F416" s="187" t="s">
        <v>59</v>
      </c>
      <c r="G416" s="187" t="s">
        <v>59</v>
      </c>
      <c r="H416" s="187"/>
      <c r="I416" s="18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ref="AB416" si="158">B416</f>
        <v>Felix Passlack</v>
      </c>
    </row>
    <row r="417" spans="1:28" s="113" customFormat="1" ht="10.5" customHeight="1" x14ac:dyDescent="0.2">
      <c r="A417" s="198">
        <v>20</v>
      </c>
      <c r="B417" s="199" t="s">
        <v>355</v>
      </c>
      <c r="C417" s="185" t="s">
        <v>1</v>
      </c>
      <c r="D417" s="186" t="s">
        <v>59</v>
      </c>
      <c r="E417" s="186" t="s">
        <v>59</v>
      </c>
      <c r="F417" s="187" t="s">
        <v>59</v>
      </c>
      <c r="G417" s="187" t="s">
        <v>59</v>
      </c>
      <c r="H417" s="187"/>
      <c r="I417" s="18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:AB422" si="159">B417</f>
        <v>Ivan Ordets (A)</v>
      </c>
    </row>
    <row r="418" spans="1:28" s="113" customFormat="1" ht="10.5" customHeight="1" x14ac:dyDescent="0.2">
      <c r="A418" s="198">
        <v>25</v>
      </c>
      <c r="B418" s="199" t="s">
        <v>356</v>
      </c>
      <c r="C418" s="185" t="s">
        <v>1</v>
      </c>
      <c r="D418" s="186" t="s">
        <v>59</v>
      </c>
      <c r="E418" s="186" t="s">
        <v>59</v>
      </c>
      <c r="F418" s="187" t="s">
        <v>59</v>
      </c>
      <c r="G418" s="187" t="s">
        <v>59</v>
      </c>
      <c r="H418" s="187"/>
      <c r="I418" s="18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9"/>
        <v>Mohammed Tolba</v>
      </c>
    </row>
    <row r="419" spans="1:28" s="113" customFormat="1" ht="10.5" customHeight="1" x14ac:dyDescent="0.2">
      <c r="A419" s="198">
        <v>30</v>
      </c>
      <c r="B419" s="199" t="s">
        <v>555</v>
      </c>
      <c r="C419" s="185" t="s">
        <v>1</v>
      </c>
      <c r="D419" s="186" t="s">
        <v>59</v>
      </c>
      <c r="E419" s="186" t="s">
        <v>59</v>
      </c>
      <c r="F419" s="187" t="s">
        <v>59</v>
      </c>
      <c r="G419" s="187" t="s">
        <v>59</v>
      </c>
      <c r="H419" s="187"/>
      <c r="I419" s="186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72"/>
      <c r="AB419" s="175" t="str">
        <f t="shared" si="159"/>
        <v>Moritz Römling</v>
      </c>
    </row>
    <row r="420" spans="1:28" s="113" customFormat="1" ht="10.5" customHeight="1" x14ac:dyDescent="0.2">
      <c r="A420" s="198">
        <v>31</v>
      </c>
      <c r="B420" s="199" t="s">
        <v>169</v>
      </c>
      <c r="C420" s="185" t="s">
        <v>1</v>
      </c>
      <c r="D420" s="186" t="s">
        <v>59</v>
      </c>
      <c r="E420" s="186" t="s">
        <v>59</v>
      </c>
      <c r="F420" s="187" t="s">
        <v>59</v>
      </c>
      <c r="G420" s="187" t="s">
        <v>59</v>
      </c>
      <c r="H420" s="187"/>
      <c r="I420" s="186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72"/>
      <c r="AB420" s="175" t="str">
        <f t="shared" si="159"/>
        <v>Keven Schlotterbeck</v>
      </c>
    </row>
    <row r="421" spans="1:28" s="113" customFormat="1" ht="10.5" customHeight="1" x14ac:dyDescent="0.2">
      <c r="A421" s="198">
        <v>32</v>
      </c>
      <c r="B421" s="199" t="s">
        <v>561</v>
      </c>
      <c r="C421" s="185" t="s">
        <v>1</v>
      </c>
      <c r="D421" s="186" t="s">
        <v>59</v>
      </c>
      <c r="E421" s="186" t="s">
        <v>59</v>
      </c>
      <c r="F421" s="187" t="s">
        <v>59</v>
      </c>
      <c r="G421" s="187" t="s">
        <v>59</v>
      </c>
      <c r="H421" s="187"/>
      <c r="I421" s="186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72"/>
      <c r="AB421" s="175" t="str">
        <f t="shared" ref="AB421" si="160">B421</f>
        <v>Maximilian Wittek</v>
      </c>
    </row>
    <row r="422" spans="1:28" s="113" customFormat="1" ht="10.5" customHeight="1" x14ac:dyDescent="0.2">
      <c r="A422" s="198">
        <v>41</v>
      </c>
      <c r="B422" s="199" t="s">
        <v>477</v>
      </c>
      <c r="C422" s="185" t="s">
        <v>1</v>
      </c>
      <c r="D422" s="186" t="s">
        <v>59</v>
      </c>
      <c r="E422" s="186" t="s">
        <v>59</v>
      </c>
      <c r="F422" s="187" t="s">
        <v>59</v>
      </c>
      <c r="G422" s="187" t="s">
        <v>59</v>
      </c>
      <c r="H422" s="187"/>
      <c r="I422" s="186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72"/>
      <c r="AB422" s="175" t="str">
        <f t="shared" si="159"/>
        <v>Noah Loosli (A)</v>
      </c>
    </row>
    <row r="423" spans="1:28" s="113" customFormat="1" ht="10.5" customHeight="1" x14ac:dyDescent="0.2">
      <c r="A423" s="200">
        <v>6</v>
      </c>
      <c r="B423" s="190" t="s">
        <v>299</v>
      </c>
      <c r="C423" s="190" t="s">
        <v>2</v>
      </c>
      <c r="D423" s="191" t="s">
        <v>59</v>
      </c>
      <c r="E423" s="191" t="s">
        <v>59</v>
      </c>
      <c r="F423" s="192" t="s">
        <v>59</v>
      </c>
      <c r="G423" s="192" t="s">
        <v>59</v>
      </c>
      <c r="H423" s="192"/>
      <c r="I423" s="191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72"/>
      <c r="AB423" s="175" t="str">
        <f t="shared" ref="AB423" si="161">B423</f>
        <v>Patrick Osterhage</v>
      </c>
    </row>
    <row r="424" spans="1:28" s="113" customFormat="1" ht="10.5" customHeight="1" x14ac:dyDescent="0.2">
      <c r="A424" s="200">
        <v>7</v>
      </c>
      <c r="B424" s="190" t="s">
        <v>254</v>
      </c>
      <c r="C424" s="190" t="s">
        <v>2</v>
      </c>
      <c r="D424" s="191" t="s">
        <v>59</v>
      </c>
      <c r="E424" s="191" t="s">
        <v>59</v>
      </c>
      <c r="F424" s="192" t="s">
        <v>59</v>
      </c>
      <c r="G424" s="192" t="s">
        <v>59</v>
      </c>
      <c r="H424" s="192"/>
      <c r="I424" s="191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72"/>
      <c r="AB424" s="175" t="str">
        <f t="shared" ref="AB424:AB426" si="162">B424</f>
        <v>Kevin Stöger (A)</v>
      </c>
    </row>
    <row r="425" spans="1:28" s="113" customFormat="1" ht="10.5" customHeight="1" x14ac:dyDescent="0.2">
      <c r="A425" s="200">
        <v>8</v>
      </c>
      <c r="B425" s="190" t="s">
        <v>300</v>
      </c>
      <c r="C425" s="190" t="s">
        <v>2</v>
      </c>
      <c r="D425" s="191" t="s">
        <v>59</v>
      </c>
      <c r="E425" s="191" t="s">
        <v>59</v>
      </c>
      <c r="F425" s="192" t="s">
        <v>59</v>
      </c>
      <c r="G425" s="192" t="s">
        <v>59</v>
      </c>
      <c r="H425" s="192"/>
      <c r="I425" s="191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72"/>
      <c r="AB425" s="175" t="str">
        <f t="shared" si="162"/>
        <v>Anthony Losilia (A)</v>
      </c>
    </row>
    <row r="426" spans="1:28" s="113" customFormat="1" ht="10.5" customHeight="1" x14ac:dyDescent="0.2">
      <c r="A426" s="200">
        <v>10</v>
      </c>
      <c r="B426" s="190" t="s">
        <v>246</v>
      </c>
      <c r="C426" s="190" t="s">
        <v>2</v>
      </c>
      <c r="D426" s="191" t="s">
        <v>59</v>
      </c>
      <c r="E426" s="191" t="s">
        <v>59</v>
      </c>
      <c r="F426" s="192" t="s">
        <v>59</v>
      </c>
      <c r="G426" s="192" t="s">
        <v>59</v>
      </c>
      <c r="H426" s="192"/>
      <c r="I426" s="191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72"/>
      <c r="AB426" s="175" t="str">
        <f t="shared" si="162"/>
        <v>Philipp Förster</v>
      </c>
    </row>
    <row r="427" spans="1:28" s="113" customFormat="1" ht="10.5" customHeight="1" x14ac:dyDescent="0.2">
      <c r="A427" s="200">
        <v>13</v>
      </c>
      <c r="B427" s="190" t="s">
        <v>480</v>
      </c>
      <c r="C427" s="190" t="s">
        <v>2</v>
      </c>
      <c r="D427" s="191" t="s">
        <v>59</v>
      </c>
      <c r="E427" s="191" t="s">
        <v>59</v>
      </c>
      <c r="F427" s="192" t="s">
        <v>59</v>
      </c>
      <c r="G427" s="192" t="s">
        <v>59</v>
      </c>
      <c r="H427" s="192"/>
      <c r="I427" s="191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72"/>
      <c r="AB427" s="175" t="str">
        <f t="shared" ref="AB427:AB429" si="163">B427</f>
        <v>Lukas Daschner</v>
      </c>
    </row>
    <row r="428" spans="1:28" s="113" customFormat="1" ht="10.5" customHeight="1" x14ac:dyDescent="0.2">
      <c r="A428" s="200">
        <v>19</v>
      </c>
      <c r="B428" s="190" t="s">
        <v>605</v>
      </c>
      <c r="C428" s="190" t="s">
        <v>2</v>
      </c>
      <c r="D428" s="191" t="s">
        <v>59</v>
      </c>
      <c r="E428" s="191" t="s">
        <v>59</v>
      </c>
      <c r="F428" s="192" t="s">
        <v>59</v>
      </c>
      <c r="G428" s="192" t="s">
        <v>59</v>
      </c>
      <c r="H428" s="192"/>
      <c r="I428" s="191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72"/>
      <c r="AB428" s="175" t="str">
        <f t="shared" si="163"/>
        <v>Matúš Bero (A)</v>
      </c>
    </row>
    <row r="429" spans="1:28" s="113" customFormat="1" ht="10.5" customHeight="1" x14ac:dyDescent="0.2">
      <c r="A429" s="200">
        <v>24</v>
      </c>
      <c r="B429" s="190" t="s">
        <v>556</v>
      </c>
      <c r="C429" s="190" t="s">
        <v>2</v>
      </c>
      <c r="D429" s="191" t="s">
        <v>59</v>
      </c>
      <c r="E429" s="191" t="s">
        <v>59</v>
      </c>
      <c r="F429" s="192" t="s">
        <v>59</v>
      </c>
      <c r="G429" s="192" t="s">
        <v>59</v>
      </c>
      <c r="H429" s="192"/>
      <c r="I429" s="191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72"/>
      <c r="AB429" s="175" t="str">
        <f t="shared" si="163"/>
        <v>Mats Pannewig</v>
      </c>
    </row>
    <row r="430" spans="1:28" s="113" customFormat="1" ht="10.5" customHeight="1" x14ac:dyDescent="0.2">
      <c r="A430" s="200">
        <v>27</v>
      </c>
      <c r="B430" s="190" t="s">
        <v>481</v>
      </c>
      <c r="C430" s="190" t="s">
        <v>2</v>
      </c>
      <c r="D430" s="191" t="s">
        <v>59</v>
      </c>
      <c r="E430" s="191" t="s">
        <v>59</v>
      </c>
      <c r="F430" s="192" t="s">
        <v>59</v>
      </c>
      <c r="G430" s="192" t="s">
        <v>59</v>
      </c>
      <c r="H430" s="192"/>
      <c r="I430" s="191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72"/>
      <c r="AB430" s="175" t="str">
        <f t="shared" ref="AB430" si="164">B430</f>
        <v>Moritz Kwarteng</v>
      </c>
    </row>
    <row r="431" spans="1:28" s="113" customFormat="1" ht="10.5" customHeight="1" x14ac:dyDescent="0.2">
      <c r="A431" s="201">
        <v>9</v>
      </c>
      <c r="B431" s="195" t="s">
        <v>620</v>
      </c>
      <c r="C431" s="195" t="s">
        <v>3</v>
      </c>
      <c r="D431" s="196" t="s">
        <v>59</v>
      </c>
      <c r="E431" s="196" t="s">
        <v>59</v>
      </c>
      <c r="F431" s="197" t="s">
        <v>59</v>
      </c>
      <c r="G431" s="197" t="s">
        <v>59</v>
      </c>
      <c r="H431" s="197"/>
      <c r="I431" s="19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72"/>
      <c r="AB431" s="175" t="str">
        <f t="shared" ref="AB431" si="165">B431</f>
        <v>Gonçalo Paciênca (A)</v>
      </c>
    </row>
    <row r="432" spans="1:28" s="113" customFormat="1" ht="10.5" customHeight="1" x14ac:dyDescent="0.2">
      <c r="A432" s="201">
        <v>11</v>
      </c>
      <c r="B432" s="195" t="s">
        <v>298</v>
      </c>
      <c r="C432" s="195" t="s">
        <v>3</v>
      </c>
      <c r="D432" s="196" t="s">
        <v>59</v>
      </c>
      <c r="E432" s="196" t="s">
        <v>59</v>
      </c>
      <c r="F432" s="197" t="s">
        <v>59</v>
      </c>
      <c r="G432" s="197" t="s">
        <v>59</v>
      </c>
      <c r="H432" s="197"/>
      <c r="I432" s="196"/>
      <c r="J432" s="181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72"/>
      <c r="AB432" s="175" t="str">
        <f t="shared" ref="AB432:AB435" si="166">B432</f>
        <v>Takuma Asano (A)</v>
      </c>
    </row>
    <row r="433" spans="1:28" s="113" customFormat="1" ht="10.5" customHeight="1" x14ac:dyDescent="0.2">
      <c r="A433" s="201">
        <v>22</v>
      </c>
      <c r="B433" s="195" t="s">
        <v>301</v>
      </c>
      <c r="C433" s="195" t="s">
        <v>3</v>
      </c>
      <c r="D433" s="196" t="s">
        <v>59</v>
      </c>
      <c r="E433" s="196" t="s">
        <v>59</v>
      </c>
      <c r="F433" s="197" t="s">
        <v>59</v>
      </c>
      <c r="G433" s="197" t="s">
        <v>59</v>
      </c>
      <c r="H433" s="197"/>
      <c r="I433" s="196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72"/>
      <c r="AB433" s="175" t="str">
        <f t="shared" si="166"/>
        <v>Christopher Antwi-Adjei</v>
      </c>
    </row>
    <row r="434" spans="1:28" s="113" customFormat="1" ht="10.5" customHeight="1" x14ac:dyDescent="0.2">
      <c r="A434" s="201">
        <v>29</v>
      </c>
      <c r="B434" s="195" t="s">
        <v>392</v>
      </c>
      <c r="C434" s="195" t="s">
        <v>3</v>
      </c>
      <c r="D434" s="196" t="s">
        <v>59</v>
      </c>
      <c r="E434" s="196" t="s">
        <v>59</v>
      </c>
      <c r="F434" s="197" t="s">
        <v>59</v>
      </c>
      <c r="G434" s="197" t="s">
        <v>59</v>
      </c>
      <c r="H434" s="197"/>
      <c r="I434" s="196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72"/>
      <c r="AB434" s="175" t="str">
        <f t="shared" ref="AB434" si="167">B434</f>
        <v>Moritz Broschinski</v>
      </c>
    </row>
    <row r="435" spans="1:28" s="113" customFormat="1" ht="10.5" customHeight="1" x14ac:dyDescent="0.2">
      <c r="A435" s="201">
        <v>33</v>
      </c>
      <c r="B435" s="195" t="s">
        <v>357</v>
      </c>
      <c r="C435" s="195" t="s">
        <v>3</v>
      </c>
      <c r="D435" s="196" t="s">
        <v>59</v>
      </c>
      <c r="E435" s="196" t="s">
        <v>59</v>
      </c>
      <c r="F435" s="197" t="s">
        <v>59</v>
      </c>
      <c r="G435" s="197" t="s">
        <v>59</v>
      </c>
      <c r="H435" s="197"/>
      <c r="I435" s="196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72"/>
      <c r="AB435" s="175" t="str">
        <f t="shared" si="166"/>
        <v>Philipp Hofmann</v>
      </c>
    </row>
    <row r="436" spans="1:28" ht="15" customHeight="1" thickBot="1" x14ac:dyDescent="0.25">
      <c r="A436" s="220" t="s">
        <v>97</v>
      </c>
      <c r="B436" s="220"/>
      <c r="C436" s="220"/>
      <c r="D436" s="220"/>
      <c r="E436" s="220"/>
      <c r="F436" s="220"/>
      <c r="G436" s="220"/>
      <c r="H436" s="220"/>
      <c r="I436" s="220"/>
      <c r="J436" s="10"/>
      <c r="K436" s="176">
        <v>12</v>
      </c>
      <c r="L436" s="176">
        <v>12</v>
      </c>
      <c r="M436" s="176">
        <v>12</v>
      </c>
      <c r="N436" s="176">
        <v>12</v>
      </c>
      <c r="O436" s="176">
        <v>12</v>
      </c>
      <c r="P436" s="176">
        <v>12</v>
      </c>
      <c r="Q436" s="176">
        <v>12</v>
      </c>
      <c r="R436" s="176">
        <v>12</v>
      </c>
      <c r="S436" s="176">
        <v>12</v>
      </c>
      <c r="T436" s="176">
        <v>12</v>
      </c>
      <c r="U436" s="176">
        <v>12</v>
      </c>
      <c r="V436" s="176">
        <v>12</v>
      </c>
      <c r="W436" s="176">
        <v>12</v>
      </c>
      <c r="X436" s="176">
        <v>12</v>
      </c>
      <c r="Y436" s="176">
        <v>12</v>
      </c>
      <c r="Z436" s="217"/>
      <c r="AB436" s="175" t="str">
        <f>A436</f>
        <v xml:space="preserve">FC Augsburg </v>
      </c>
    </row>
    <row r="437" spans="1:28" ht="10.5" customHeight="1" x14ac:dyDescent="0.2">
      <c r="A437" s="177">
        <v>1</v>
      </c>
      <c r="B437" s="178" t="s">
        <v>194</v>
      </c>
      <c r="C437" s="178" t="s">
        <v>0</v>
      </c>
      <c r="D437" s="179" t="s">
        <v>59</v>
      </c>
      <c r="E437" s="179" t="s">
        <v>59</v>
      </c>
      <c r="F437" s="180" t="s">
        <v>59</v>
      </c>
      <c r="G437" s="180" t="s">
        <v>59</v>
      </c>
      <c r="H437" s="180"/>
      <c r="I437" s="179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ref="AB437" si="168">B437</f>
        <v>Finn Dahmen</v>
      </c>
    </row>
    <row r="438" spans="1:28" ht="10.5" customHeight="1" x14ac:dyDescent="0.2">
      <c r="A438" s="177">
        <v>33</v>
      </c>
      <c r="B438" s="178" t="s">
        <v>482</v>
      </c>
      <c r="C438" s="178" t="s">
        <v>0</v>
      </c>
      <c r="D438" s="179" t="s">
        <v>59</v>
      </c>
      <c r="E438" s="179" t="s">
        <v>59</v>
      </c>
      <c r="F438" s="180" t="s">
        <v>59</v>
      </c>
      <c r="G438" s="180" t="s">
        <v>59</v>
      </c>
      <c r="H438" s="180"/>
      <c r="I438" s="179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ref="AB438:AB439" si="169">B438</f>
        <v>Marcel Lubik (A)</v>
      </c>
    </row>
    <row r="439" spans="1:28" ht="10.5" customHeight="1" x14ac:dyDescent="0.2">
      <c r="A439" s="177">
        <v>40</v>
      </c>
      <c r="B439" s="178" t="s">
        <v>602</v>
      </c>
      <c r="C439" s="178" t="s">
        <v>0</v>
      </c>
      <c r="D439" s="179" t="s">
        <v>59</v>
      </c>
      <c r="E439" s="179" t="s">
        <v>59</v>
      </c>
      <c r="F439" s="180" t="s">
        <v>59</v>
      </c>
      <c r="G439" s="180" t="s">
        <v>59</v>
      </c>
      <c r="H439" s="180"/>
      <c r="I439" s="179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si="169"/>
        <v>Tomáš Koubek (A)</v>
      </c>
    </row>
    <row r="440" spans="1:28" ht="10.5" customHeight="1" x14ac:dyDescent="0.2">
      <c r="A440" s="198">
        <v>2</v>
      </c>
      <c r="B440" s="199" t="s">
        <v>237</v>
      </c>
      <c r="C440" s="185" t="s">
        <v>1</v>
      </c>
      <c r="D440" s="186" t="s">
        <v>59</v>
      </c>
      <c r="E440" s="186" t="s">
        <v>59</v>
      </c>
      <c r="F440" s="187" t="s">
        <v>59</v>
      </c>
      <c r="G440" s="187" t="s">
        <v>59</v>
      </c>
      <c r="H440" s="187"/>
      <c r="I440" s="186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ref="AB440" si="170">B440</f>
        <v>Robert Gumny (A)</v>
      </c>
    </row>
    <row r="441" spans="1:28" ht="10.5" customHeight="1" x14ac:dyDescent="0.2">
      <c r="A441" s="198">
        <v>3</v>
      </c>
      <c r="B441" s="199" t="s">
        <v>313</v>
      </c>
      <c r="C441" s="185" t="s">
        <v>1</v>
      </c>
      <c r="D441" s="186" t="s">
        <v>59</v>
      </c>
      <c r="E441" s="186" t="s">
        <v>59</v>
      </c>
      <c r="F441" s="187" t="s">
        <v>59</v>
      </c>
      <c r="G441" s="187" t="s">
        <v>59</v>
      </c>
      <c r="H441" s="187"/>
      <c r="I441" s="186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3" si="171">B441</f>
        <v>Mads Pedersen (A)</v>
      </c>
    </row>
    <row r="442" spans="1:28" ht="10.5" customHeight="1" x14ac:dyDescent="0.2">
      <c r="A442" s="198">
        <v>4</v>
      </c>
      <c r="B442" s="199" t="s">
        <v>200</v>
      </c>
      <c r="C442" s="185" t="s">
        <v>1</v>
      </c>
      <c r="D442" s="186" t="s">
        <v>59</v>
      </c>
      <c r="E442" s="186" t="s">
        <v>59</v>
      </c>
      <c r="F442" s="187" t="s">
        <v>59</v>
      </c>
      <c r="G442" s="187" t="s">
        <v>59</v>
      </c>
      <c r="H442" s="187"/>
      <c r="I442" s="186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71"/>
        <v>Reece Oxford (A)</v>
      </c>
    </row>
    <row r="443" spans="1:28" ht="10.5" customHeight="1" x14ac:dyDescent="0.2">
      <c r="A443" s="198">
        <v>5</v>
      </c>
      <c r="B443" s="199" t="s">
        <v>483</v>
      </c>
      <c r="C443" s="185" t="s">
        <v>1</v>
      </c>
      <c r="D443" s="186" t="s">
        <v>59</v>
      </c>
      <c r="E443" s="186" t="s">
        <v>59</v>
      </c>
      <c r="F443" s="187" t="s">
        <v>59</v>
      </c>
      <c r="G443" s="187" t="s">
        <v>59</v>
      </c>
      <c r="H443" s="187"/>
      <c r="I443" s="186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si="171"/>
        <v>Patric Pfeiffer</v>
      </c>
    </row>
    <row r="444" spans="1:28" ht="10.5" customHeight="1" x14ac:dyDescent="0.2">
      <c r="A444" s="198">
        <v>6</v>
      </c>
      <c r="B444" s="199" t="s">
        <v>150</v>
      </c>
      <c r="C444" s="185" t="s">
        <v>1</v>
      </c>
      <c r="D444" s="186" t="s">
        <v>59</v>
      </c>
      <c r="E444" s="186" t="s">
        <v>59</v>
      </c>
      <c r="F444" s="187" t="s">
        <v>59</v>
      </c>
      <c r="G444" s="187" t="s">
        <v>59</v>
      </c>
      <c r="H444" s="187"/>
      <c r="I444" s="186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ref="AB444" si="172">B444</f>
        <v>Jeffrey Gouweleeuw (A)</v>
      </c>
    </row>
    <row r="445" spans="1:28" ht="10.5" customHeight="1" x14ac:dyDescent="0.2">
      <c r="A445" s="198">
        <v>19</v>
      </c>
      <c r="B445" s="199" t="s">
        <v>188</v>
      </c>
      <c r="C445" s="185" t="s">
        <v>1</v>
      </c>
      <c r="D445" s="186" t="s">
        <v>59</v>
      </c>
      <c r="E445" s="186" t="s">
        <v>59</v>
      </c>
      <c r="F445" s="187" t="s">
        <v>59</v>
      </c>
      <c r="G445" s="187" t="s">
        <v>59</v>
      </c>
      <c r="H445" s="187"/>
      <c r="I445" s="186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:AB448" si="173">B445</f>
        <v>Felix Uduokhai</v>
      </c>
    </row>
    <row r="446" spans="1:28" ht="10.5" customHeight="1" x14ac:dyDescent="0.2">
      <c r="A446" s="198">
        <v>22</v>
      </c>
      <c r="B446" s="199" t="s">
        <v>199</v>
      </c>
      <c r="C446" s="185" t="s">
        <v>1</v>
      </c>
      <c r="D446" s="186" t="s">
        <v>59</v>
      </c>
      <c r="E446" s="186" t="s">
        <v>59</v>
      </c>
      <c r="F446" s="187" t="s">
        <v>59</v>
      </c>
      <c r="G446" s="187" t="s">
        <v>59</v>
      </c>
      <c r="H446" s="187"/>
      <c r="I446" s="186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 t="shared" si="173"/>
        <v>Iago (A)</v>
      </c>
    </row>
    <row r="447" spans="1:28" ht="10.5" customHeight="1" x14ac:dyDescent="0.2">
      <c r="A447" s="198">
        <v>23</v>
      </c>
      <c r="B447" s="199" t="s">
        <v>306</v>
      </c>
      <c r="C447" s="185" t="s">
        <v>1</v>
      </c>
      <c r="D447" s="186" t="s">
        <v>59</v>
      </c>
      <c r="E447" s="186" t="s">
        <v>59</v>
      </c>
      <c r="F447" s="187" t="s">
        <v>59</v>
      </c>
      <c r="G447" s="187" t="s">
        <v>59</v>
      </c>
      <c r="H447" s="187"/>
      <c r="I447" s="186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si="173"/>
        <v>Maximilian Bauer</v>
      </c>
    </row>
    <row r="448" spans="1:28" ht="10.5" customHeight="1" x14ac:dyDescent="0.2">
      <c r="A448" s="198">
        <v>32</v>
      </c>
      <c r="B448" s="199" t="s">
        <v>484</v>
      </c>
      <c r="C448" s="185" t="s">
        <v>1</v>
      </c>
      <c r="D448" s="186" t="s">
        <v>59</v>
      </c>
      <c r="E448" s="186" t="s">
        <v>59</v>
      </c>
      <c r="F448" s="187" t="s">
        <v>59</v>
      </c>
      <c r="G448" s="187" t="s">
        <v>59</v>
      </c>
      <c r="H448" s="187"/>
      <c r="I448" s="186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si="173"/>
        <v>Raphael Framberger</v>
      </c>
    </row>
    <row r="449" spans="1:28" ht="10.5" customHeight="1" x14ac:dyDescent="0.2">
      <c r="A449" s="198">
        <v>43</v>
      </c>
      <c r="B449" s="199" t="s">
        <v>621</v>
      </c>
      <c r="C449" s="185" t="s">
        <v>1</v>
      </c>
      <c r="D449" s="186" t="s">
        <v>59</v>
      </c>
      <c r="E449" s="186" t="s">
        <v>59</v>
      </c>
      <c r="F449" s="187" t="s">
        <v>59</v>
      </c>
      <c r="G449" s="187" t="s">
        <v>59</v>
      </c>
      <c r="H449" s="187"/>
      <c r="I449" s="186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ref="AB449" si="174">B449</f>
        <v>Kevin Mbabu (A)</v>
      </c>
    </row>
    <row r="450" spans="1:28" ht="10.5" customHeight="1" x14ac:dyDescent="0.2">
      <c r="A450" s="200">
        <v>8</v>
      </c>
      <c r="B450" s="190" t="s">
        <v>162</v>
      </c>
      <c r="C450" s="190" t="s">
        <v>2</v>
      </c>
      <c r="D450" s="191" t="s">
        <v>59</v>
      </c>
      <c r="E450" s="191" t="s">
        <v>59</v>
      </c>
      <c r="F450" s="192" t="s">
        <v>59</v>
      </c>
      <c r="G450" s="192" t="s">
        <v>59</v>
      </c>
      <c r="H450" s="192"/>
      <c r="I450" s="191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>B450</f>
        <v>Elvis Rexhbecaj</v>
      </c>
    </row>
    <row r="451" spans="1:28" ht="10.5" customHeight="1" x14ac:dyDescent="0.2">
      <c r="A451" s="200">
        <v>10</v>
      </c>
      <c r="B451" s="190" t="s">
        <v>290</v>
      </c>
      <c r="C451" s="190" t="s">
        <v>2</v>
      </c>
      <c r="D451" s="191" t="s">
        <v>59</v>
      </c>
      <c r="E451" s="191" t="s">
        <v>59</v>
      </c>
      <c r="F451" s="192" t="s">
        <v>59</v>
      </c>
      <c r="G451" s="192" t="s">
        <v>59</v>
      </c>
      <c r="H451" s="192"/>
      <c r="I451" s="191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ref="AB451:AB454" si="175">B451</f>
        <v>Arne Maier</v>
      </c>
    </row>
    <row r="452" spans="1:28" ht="10.5" customHeight="1" x14ac:dyDescent="0.2">
      <c r="A452" s="200">
        <v>14</v>
      </c>
      <c r="B452" s="190" t="s">
        <v>485</v>
      </c>
      <c r="C452" s="190" t="s">
        <v>2</v>
      </c>
      <c r="D452" s="191" t="s">
        <v>59</v>
      </c>
      <c r="E452" s="191" t="s">
        <v>59</v>
      </c>
      <c r="F452" s="192" t="s">
        <v>59</v>
      </c>
      <c r="G452" s="192" t="s">
        <v>59</v>
      </c>
      <c r="H452" s="192"/>
      <c r="I452" s="191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B452" s="175" t="str">
        <f t="shared" ref="AB452" si="176">B452</f>
        <v>Masaya Okugawa (A)</v>
      </c>
    </row>
    <row r="453" spans="1:28" ht="10.5" customHeight="1" x14ac:dyDescent="0.2">
      <c r="A453" s="200">
        <v>16</v>
      </c>
      <c r="B453" s="190" t="s">
        <v>201</v>
      </c>
      <c r="C453" s="190" t="s">
        <v>2</v>
      </c>
      <c r="D453" s="191" t="s">
        <v>59</v>
      </c>
      <c r="E453" s="191" t="s">
        <v>59</v>
      </c>
      <c r="F453" s="192" t="s">
        <v>59</v>
      </c>
      <c r="G453" s="192" t="s">
        <v>59</v>
      </c>
      <c r="H453" s="192"/>
      <c r="I453" s="191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B453" s="175" t="str">
        <f t="shared" si="175"/>
        <v>Ruben Vargas (A)</v>
      </c>
    </row>
    <row r="454" spans="1:28" ht="10.5" customHeight="1" x14ac:dyDescent="0.2">
      <c r="A454" s="200">
        <v>17</v>
      </c>
      <c r="B454" s="190" t="s">
        <v>586</v>
      </c>
      <c r="C454" s="190" t="s">
        <v>2</v>
      </c>
      <c r="D454" s="191" t="s">
        <v>59</v>
      </c>
      <c r="E454" s="191" t="s">
        <v>59</v>
      </c>
      <c r="F454" s="192" t="s">
        <v>59</v>
      </c>
      <c r="G454" s="192" t="s">
        <v>59</v>
      </c>
      <c r="H454" s="192"/>
      <c r="I454" s="191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B454" s="175" t="str">
        <f t="shared" si="175"/>
        <v>Kristijan Jakić (A)</v>
      </c>
    </row>
    <row r="455" spans="1:28" ht="10.5" customHeight="1" x14ac:dyDescent="0.2">
      <c r="A455" s="200">
        <v>18</v>
      </c>
      <c r="B455" s="190" t="s">
        <v>486</v>
      </c>
      <c r="C455" s="190" t="s">
        <v>2</v>
      </c>
      <c r="D455" s="191" t="s">
        <v>59</v>
      </c>
      <c r="E455" s="191" t="s">
        <v>59</v>
      </c>
      <c r="F455" s="192" t="s">
        <v>59</v>
      </c>
      <c r="G455" s="192" t="s">
        <v>59</v>
      </c>
      <c r="H455" s="192"/>
      <c r="I455" s="191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B455" s="175" t="str">
        <f t="shared" ref="AB455:AB458" si="177">B455</f>
        <v>Tim Breithaupt</v>
      </c>
    </row>
    <row r="456" spans="1:28" ht="10.5" customHeight="1" x14ac:dyDescent="0.2">
      <c r="A456" s="200">
        <v>24</v>
      </c>
      <c r="B456" s="190" t="s">
        <v>166</v>
      </c>
      <c r="C456" s="190" t="s">
        <v>2</v>
      </c>
      <c r="D456" s="191" t="s">
        <v>59</v>
      </c>
      <c r="E456" s="191" t="s">
        <v>59</v>
      </c>
      <c r="F456" s="192" t="s">
        <v>59</v>
      </c>
      <c r="G456" s="192" t="s">
        <v>59</v>
      </c>
      <c r="H456" s="192"/>
      <c r="I456" s="191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B456" s="175" t="str">
        <f t="shared" si="177"/>
        <v>Fredrik Jensen (A)</v>
      </c>
    </row>
    <row r="457" spans="1:28" ht="10.5" customHeight="1" x14ac:dyDescent="0.2">
      <c r="A457" s="200">
        <v>27</v>
      </c>
      <c r="B457" s="190" t="s">
        <v>389</v>
      </c>
      <c r="C457" s="190" t="s">
        <v>2</v>
      </c>
      <c r="D457" s="191" t="s">
        <v>59</v>
      </c>
      <c r="E457" s="191" t="s">
        <v>59</v>
      </c>
      <c r="F457" s="192" t="s">
        <v>59</v>
      </c>
      <c r="G457" s="192" t="s">
        <v>59</v>
      </c>
      <c r="H457" s="192"/>
      <c r="I457" s="191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B457" s="175" t="str">
        <f t="shared" ref="AB457" si="178">B457</f>
        <v>Arne Engels (A)</v>
      </c>
    </row>
    <row r="458" spans="1:28" ht="10.5" customHeight="1" x14ac:dyDescent="0.2">
      <c r="A458" s="200">
        <v>30</v>
      </c>
      <c r="B458" s="190" t="s">
        <v>291</v>
      </c>
      <c r="C458" s="190" t="s">
        <v>2</v>
      </c>
      <c r="D458" s="191" t="s">
        <v>59</v>
      </c>
      <c r="E458" s="191" t="s">
        <v>59</v>
      </c>
      <c r="F458" s="192" t="s">
        <v>59</v>
      </c>
      <c r="G458" s="192" t="s">
        <v>59</v>
      </c>
      <c r="H458" s="192"/>
      <c r="I458" s="191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B458" s="175" t="str">
        <f t="shared" si="177"/>
        <v>Niklas Dorsch</v>
      </c>
    </row>
    <row r="459" spans="1:28" ht="10.5" customHeight="1" x14ac:dyDescent="0.2">
      <c r="A459" s="200">
        <v>36</v>
      </c>
      <c r="B459" s="190" t="s">
        <v>487</v>
      </c>
      <c r="C459" s="190" t="s">
        <v>2</v>
      </c>
      <c r="D459" s="191" t="s">
        <v>59</v>
      </c>
      <c r="E459" s="191" t="s">
        <v>59</v>
      </c>
      <c r="F459" s="192" t="s">
        <v>59</v>
      </c>
      <c r="G459" s="192" t="s">
        <v>59</v>
      </c>
      <c r="H459" s="192"/>
      <c r="I459" s="191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B459" s="175" t="str">
        <f t="shared" ref="AB459" si="179">B459</f>
        <v>Mert Kömür</v>
      </c>
    </row>
    <row r="460" spans="1:28" ht="10.5" customHeight="1" x14ac:dyDescent="0.2">
      <c r="A460" s="201">
        <v>7</v>
      </c>
      <c r="B460" s="195" t="s">
        <v>488</v>
      </c>
      <c r="C460" s="195" t="s">
        <v>3</v>
      </c>
      <c r="D460" s="196" t="s">
        <v>59</v>
      </c>
      <c r="E460" s="196" t="s">
        <v>59</v>
      </c>
      <c r="F460" s="197" t="s">
        <v>59</v>
      </c>
      <c r="G460" s="197" t="s">
        <v>59</v>
      </c>
      <c r="H460" s="197"/>
      <c r="I460" s="19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AB460" s="175" t="str">
        <f>B460</f>
        <v>Dion Beljo (A)</v>
      </c>
    </row>
    <row r="461" spans="1:28" ht="10.5" customHeight="1" x14ac:dyDescent="0.2">
      <c r="A461" s="201">
        <v>9</v>
      </c>
      <c r="B461" s="195" t="s">
        <v>603</v>
      </c>
      <c r="C461" s="195" t="s">
        <v>3</v>
      </c>
      <c r="D461" s="196" t="s">
        <v>59</v>
      </c>
      <c r="E461" s="196" t="s">
        <v>59</v>
      </c>
      <c r="F461" s="197" t="s">
        <v>59</v>
      </c>
      <c r="G461" s="197" t="s">
        <v>59</v>
      </c>
      <c r="H461" s="197"/>
      <c r="I461" s="196"/>
      <c r="J461" s="181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AB461" s="175" t="str">
        <f t="shared" ref="AB461" si="180">B461</f>
        <v>Ermedin Demirović (A)</v>
      </c>
    </row>
    <row r="462" spans="1:28" ht="10.5" customHeight="1" x14ac:dyDescent="0.2">
      <c r="A462" s="201">
        <v>20</v>
      </c>
      <c r="B462" s="195" t="s">
        <v>489</v>
      </c>
      <c r="C462" s="195" t="s">
        <v>3</v>
      </c>
      <c r="D462" s="196" t="s">
        <v>59</v>
      </c>
      <c r="E462" s="196" t="s">
        <v>59</v>
      </c>
      <c r="F462" s="197" t="s">
        <v>59</v>
      </c>
      <c r="G462" s="197" t="s">
        <v>59</v>
      </c>
      <c r="H462" s="197"/>
      <c r="I462" s="196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AB462" s="175" t="str">
        <f t="shared" ref="AB462:AB463" si="181">B462</f>
        <v>Sven Michel</v>
      </c>
    </row>
    <row r="463" spans="1:28" ht="10.5" customHeight="1" x14ac:dyDescent="0.2">
      <c r="A463" s="201">
        <v>21</v>
      </c>
      <c r="B463" s="195" t="s">
        <v>490</v>
      </c>
      <c r="C463" s="195" t="s">
        <v>3</v>
      </c>
      <c r="D463" s="196" t="s">
        <v>59</v>
      </c>
      <c r="E463" s="196" t="s">
        <v>59</v>
      </c>
      <c r="F463" s="197" t="s">
        <v>59</v>
      </c>
      <c r="G463" s="197" t="s">
        <v>59</v>
      </c>
      <c r="H463" s="197"/>
      <c r="I463" s="196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AB463" s="175" t="str">
        <f t="shared" si="181"/>
        <v>Phillip Tietz</v>
      </c>
    </row>
    <row r="464" spans="1:28" ht="15" customHeight="1" thickBot="1" x14ac:dyDescent="0.25">
      <c r="A464" s="219" t="s">
        <v>226</v>
      </c>
      <c r="B464" s="219"/>
      <c r="C464" s="219"/>
      <c r="D464" s="219"/>
      <c r="E464" s="219"/>
      <c r="F464" s="219"/>
      <c r="G464" s="219"/>
      <c r="H464" s="219"/>
      <c r="I464" s="219"/>
      <c r="J464" s="10"/>
      <c r="K464" s="176">
        <v>12</v>
      </c>
      <c r="L464" s="176">
        <v>12</v>
      </c>
      <c r="M464" s="176">
        <v>12</v>
      </c>
      <c r="N464" s="176">
        <v>12</v>
      </c>
      <c r="O464" s="176">
        <v>12</v>
      </c>
      <c r="P464" s="176">
        <v>12</v>
      </c>
      <c r="Q464" s="176">
        <v>12</v>
      </c>
      <c r="R464" s="176">
        <v>12</v>
      </c>
      <c r="S464" s="176">
        <v>12</v>
      </c>
      <c r="T464" s="176">
        <v>12</v>
      </c>
      <c r="U464" s="176">
        <v>12</v>
      </c>
      <c r="V464" s="176">
        <v>12</v>
      </c>
      <c r="W464" s="176">
        <v>12</v>
      </c>
      <c r="X464" s="176">
        <v>12</v>
      </c>
      <c r="Y464" s="176">
        <v>12</v>
      </c>
      <c r="Z464" s="217"/>
      <c r="AB464" s="175" t="str">
        <f>A464</f>
        <v>VfB Stuttgart</v>
      </c>
    </row>
    <row r="465" spans="1:28" s="113" customFormat="1" ht="10.5" customHeight="1" x14ac:dyDescent="0.2">
      <c r="A465" s="177">
        <v>1</v>
      </c>
      <c r="B465" s="178" t="s">
        <v>242</v>
      </c>
      <c r="C465" s="178" t="s">
        <v>0</v>
      </c>
      <c r="D465" s="179" t="s">
        <v>59</v>
      </c>
      <c r="E465" s="179" t="s">
        <v>59</v>
      </c>
      <c r="F465" s="180" t="s">
        <v>59</v>
      </c>
      <c r="G465" s="180" t="s">
        <v>59</v>
      </c>
      <c r="H465" s="180"/>
      <c r="I465" s="179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ref="AB465:AB467" si="182">B465</f>
        <v>Fabian Bredlow</v>
      </c>
    </row>
    <row r="466" spans="1:28" s="113" customFormat="1" ht="10.5" customHeight="1" x14ac:dyDescent="0.2">
      <c r="A466" s="177">
        <v>33</v>
      </c>
      <c r="B466" s="178" t="s">
        <v>491</v>
      </c>
      <c r="C466" s="178" t="s">
        <v>0</v>
      </c>
      <c r="D466" s="179" t="s">
        <v>59</v>
      </c>
      <c r="E466" s="179" t="s">
        <v>59</v>
      </c>
      <c r="F466" s="180" t="s">
        <v>59</v>
      </c>
      <c r="G466" s="180" t="s">
        <v>59</v>
      </c>
      <c r="H466" s="180"/>
      <c r="I466" s="179"/>
      <c r="J466" s="181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si="182"/>
        <v>Alexander Nübel</v>
      </c>
    </row>
    <row r="467" spans="1:28" s="113" customFormat="1" ht="10.5" customHeight="1" x14ac:dyDescent="0.2">
      <c r="A467" s="177">
        <v>41</v>
      </c>
      <c r="B467" s="178" t="s">
        <v>492</v>
      </c>
      <c r="C467" s="178" t="s">
        <v>0</v>
      </c>
      <c r="D467" s="179" t="s">
        <v>59</v>
      </c>
      <c r="E467" s="179" t="s">
        <v>59</v>
      </c>
      <c r="F467" s="180" t="s">
        <v>59</v>
      </c>
      <c r="G467" s="180" t="s">
        <v>59</v>
      </c>
      <c r="H467" s="180"/>
      <c r="I467" s="179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si="182"/>
        <v>Dennis Seimen</v>
      </c>
    </row>
    <row r="468" spans="1:28" s="113" customFormat="1" ht="10.5" customHeight="1" x14ac:dyDescent="0.2">
      <c r="A468" s="177">
        <v>42</v>
      </c>
      <c r="B468" s="178" t="s">
        <v>312</v>
      </c>
      <c r="C468" s="178" t="s">
        <v>0</v>
      </c>
      <c r="D468" s="179" t="s">
        <v>59</v>
      </c>
      <c r="E468" s="179" t="s">
        <v>59</v>
      </c>
      <c r="F468" s="180" t="s">
        <v>59</v>
      </c>
      <c r="G468" s="180" t="s">
        <v>59</v>
      </c>
      <c r="H468" s="180"/>
      <c r="I468" s="179"/>
      <c r="J468" s="181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 t="shared" ref="AB468" si="183">B468</f>
        <v>Florian Schock</v>
      </c>
    </row>
    <row r="469" spans="1:28" s="113" customFormat="1" ht="10.5" customHeight="1" x14ac:dyDescent="0.2">
      <c r="A469" s="198">
        <v>2</v>
      </c>
      <c r="B469" s="199" t="s">
        <v>243</v>
      </c>
      <c r="C469" s="185" t="s">
        <v>1</v>
      </c>
      <c r="D469" s="186" t="s">
        <v>59</v>
      </c>
      <c r="E469" s="186" t="s">
        <v>59</v>
      </c>
      <c r="F469" s="187" t="s">
        <v>59</v>
      </c>
      <c r="G469" s="187" t="s">
        <v>59</v>
      </c>
      <c r="H469" s="187"/>
      <c r="I469" s="186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ref="AB469" si="184">B469</f>
        <v>Waldemar Anton</v>
      </c>
    </row>
    <row r="470" spans="1:28" s="113" customFormat="1" ht="10.5" customHeight="1" x14ac:dyDescent="0.2">
      <c r="A470" s="198">
        <v>4</v>
      </c>
      <c r="B470" s="199" t="s">
        <v>358</v>
      </c>
      <c r="C470" s="185" t="s">
        <v>1</v>
      </c>
      <c r="D470" s="186" t="s">
        <v>59</v>
      </c>
      <c r="E470" s="186" t="s">
        <v>59</v>
      </c>
      <c r="F470" s="187" t="s">
        <v>59</v>
      </c>
      <c r="G470" s="187" t="s">
        <v>59</v>
      </c>
      <c r="H470" s="187"/>
      <c r="I470" s="186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 t="shared" ref="AB470:AB474" si="185">B470</f>
        <v>Josha Vagnoman</v>
      </c>
    </row>
    <row r="471" spans="1:28" s="113" customFormat="1" ht="10.5" customHeight="1" x14ac:dyDescent="0.2">
      <c r="A471" s="198">
        <v>7</v>
      </c>
      <c r="B471" s="199" t="s">
        <v>148</v>
      </c>
      <c r="C471" s="185" t="s">
        <v>1</v>
      </c>
      <c r="D471" s="186" t="s">
        <v>59</v>
      </c>
      <c r="E471" s="186" t="s">
        <v>59</v>
      </c>
      <c r="F471" s="187" t="s">
        <v>59</v>
      </c>
      <c r="G471" s="187" t="s">
        <v>59</v>
      </c>
      <c r="H471" s="187"/>
      <c r="I471" s="186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85"/>
        <v>Maximilian Mittelstädt</v>
      </c>
    </row>
    <row r="472" spans="1:28" s="113" customFormat="1" ht="10.5" customHeight="1" x14ac:dyDescent="0.2">
      <c r="A472" s="198">
        <v>15</v>
      </c>
      <c r="B472" s="199" t="s">
        <v>244</v>
      </c>
      <c r="C472" s="185" t="s">
        <v>1</v>
      </c>
      <c r="D472" s="186" t="s">
        <v>59</v>
      </c>
      <c r="E472" s="186" t="s">
        <v>59</v>
      </c>
      <c r="F472" s="187" t="s">
        <v>59</v>
      </c>
      <c r="G472" s="187" t="s">
        <v>59</v>
      </c>
      <c r="H472" s="187"/>
      <c r="I472" s="186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si="185"/>
        <v>Pascal Stenzel</v>
      </c>
    </row>
    <row r="473" spans="1:28" s="113" customFormat="1" ht="10.5" customHeight="1" x14ac:dyDescent="0.2">
      <c r="A473" s="198">
        <v>20</v>
      </c>
      <c r="B473" s="199" t="s">
        <v>571</v>
      </c>
      <c r="C473" s="185" t="s">
        <v>1</v>
      </c>
      <c r="D473" s="186" t="s">
        <v>59</v>
      </c>
      <c r="E473" s="186" t="s">
        <v>59</v>
      </c>
      <c r="F473" s="187" t="s">
        <v>59</v>
      </c>
      <c r="G473" s="187" t="s">
        <v>59</v>
      </c>
      <c r="H473" s="187"/>
      <c r="I473" s="18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>B473</f>
        <v>Leonidas Stergiou (A)</v>
      </c>
    </row>
    <row r="474" spans="1:28" s="113" customFormat="1" ht="10.5" customHeight="1" x14ac:dyDescent="0.2">
      <c r="A474" s="198">
        <v>21</v>
      </c>
      <c r="B474" s="199" t="s">
        <v>279</v>
      </c>
      <c r="C474" s="185" t="s">
        <v>1</v>
      </c>
      <c r="D474" s="186" t="s">
        <v>59</v>
      </c>
      <c r="E474" s="186" t="s">
        <v>59</v>
      </c>
      <c r="F474" s="187" t="s">
        <v>59</v>
      </c>
      <c r="G474" s="187" t="s">
        <v>59</v>
      </c>
      <c r="H474" s="187"/>
      <c r="I474" s="186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si="185"/>
        <v>Hikori Ito (A)</v>
      </c>
    </row>
    <row r="475" spans="1:28" s="113" customFormat="1" ht="10.5" customHeight="1" x14ac:dyDescent="0.2">
      <c r="A475" s="198">
        <v>23</v>
      </c>
      <c r="B475" s="199" t="s">
        <v>381</v>
      </c>
      <c r="C475" s="185" t="s">
        <v>1</v>
      </c>
      <c r="D475" s="186" t="s">
        <v>59</v>
      </c>
      <c r="E475" s="186" t="s">
        <v>59</v>
      </c>
      <c r="F475" s="187" t="s">
        <v>59</v>
      </c>
      <c r="G475" s="187" t="s">
        <v>59</v>
      </c>
      <c r="H475" s="187"/>
      <c r="I475" s="186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ref="AB475:AB476" si="186">B475</f>
        <v>Dan-Axel Zagadou (A)</v>
      </c>
    </row>
    <row r="476" spans="1:28" s="113" customFormat="1" ht="10.5" customHeight="1" x14ac:dyDescent="0.2">
      <c r="A476" s="198">
        <v>29</v>
      </c>
      <c r="B476" s="199" t="s">
        <v>622</v>
      </c>
      <c r="C476" s="185" t="s">
        <v>1</v>
      </c>
      <c r="D476" s="186" t="s">
        <v>59</v>
      </c>
      <c r="E476" s="186" t="s">
        <v>59</v>
      </c>
      <c r="F476" s="187" t="s">
        <v>59</v>
      </c>
      <c r="G476" s="187" t="s">
        <v>59</v>
      </c>
      <c r="H476" s="187"/>
      <c r="I476" s="186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si="186"/>
        <v>Anthony Rouault (A)</v>
      </c>
    </row>
    <row r="477" spans="1:28" s="113" customFormat="1" ht="10.5" customHeight="1" x14ac:dyDescent="0.2">
      <c r="A477" s="198">
        <v>49</v>
      </c>
      <c r="B477" s="199" t="s">
        <v>659</v>
      </c>
      <c r="C477" s="185" t="s">
        <v>1</v>
      </c>
      <c r="D477" s="186" t="s">
        <v>59</v>
      </c>
      <c r="E477" s="186" t="s">
        <v>59</v>
      </c>
      <c r="F477" s="187" t="s">
        <v>59</v>
      </c>
      <c r="G477" s="187" t="s">
        <v>59</v>
      </c>
      <c r="H477" s="187"/>
      <c r="I477" s="186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ref="AB477:AB478" si="187">B477</f>
        <v>Moussa Cissé (A)</v>
      </c>
    </row>
    <row r="478" spans="1:28" s="113" customFormat="1" ht="10.5" customHeight="1" x14ac:dyDescent="0.2">
      <c r="A478" s="200">
        <v>6</v>
      </c>
      <c r="B478" s="190" t="s">
        <v>282</v>
      </c>
      <c r="C478" s="190" t="s">
        <v>2</v>
      </c>
      <c r="D478" s="191" t="s">
        <v>59</v>
      </c>
      <c r="E478" s="191" t="s">
        <v>59</v>
      </c>
      <c r="F478" s="192" t="s">
        <v>59</v>
      </c>
      <c r="G478" s="192" t="s">
        <v>59</v>
      </c>
      <c r="H478" s="192"/>
      <c r="I478" s="191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si="187"/>
        <v>Angelo Stiller</v>
      </c>
    </row>
    <row r="479" spans="1:28" s="113" customFormat="1" ht="10.5" customHeight="1" x14ac:dyDescent="0.2">
      <c r="A479" s="200">
        <v>8</v>
      </c>
      <c r="B479" s="190" t="s">
        <v>307</v>
      </c>
      <c r="C479" s="190" t="s">
        <v>2</v>
      </c>
      <c r="D479" s="191" t="s">
        <v>59</v>
      </c>
      <c r="E479" s="191" t="s">
        <v>59</v>
      </c>
      <c r="F479" s="192" t="s">
        <v>59</v>
      </c>
      <c r="G479" s="192" t="s">
        <v>59</v>
      </c>
      <c r="H479" s="192"/>
      <c r="I479" s="191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 t="shared" ref="AB479:AB490" si="188">B479</f>
        <v>Enzo Millot (A)</v>
      </c>
    </row>
    <row r="480" spans="1:28" s="113" customFormat="1" ht="10.5" customHeight="1" x14ac:dyDescent="0.2">
      <c r="A480" s="200">
        <v>10</v>
      </c>
      <c r="B480" s="190" t="s">
        <v>493</v>
      </c>
      <c r="C480" s="190" t="s">
        <v>2</v>
      </c>
      <c r="D480" s="191" t="s">
        <v>59</v>
      </c>
      <c r="E480" s="191" t="s">
        <v>59</v>
      </c>
      <c r="F480" s="192" t="s">
        <v>59</v>
      </c>
      <c r="G480" s="192" t="s">
        <v>59</v>
      </c>
      <c r="H480" s="192"/>
      <c r="I480" s="191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 t="shared" ref="AB480" si="189">B480</f>
        <v>Wooyeong Jeong (A)</v>
      </c>
    </row>
    <row r="481" spans="1:28" s="113" customFormat="1" ht="10.5" customHeight="1" x14ac:dyDescent="0.2">
      <c r="A481" s="200">
        <v>16</v>
      </c>
      <c r="B481" s="190" t="s">
        <v>245</v>
      </c>
      <c r="C481" s="190" t="s">
        <v>2</v>
      </c>
      <c r="D481" s="191" t="s">
        <v>59</v>
      </c>
      <c r="E481" s="191" t="s">
        <v>59</v>
      </c>
      <c r="F481" s="192" t="s">
        <v>59</v>
      </c>
      <c r="G481" s="192" t="s">
        <v>59</v>
      </c>
      <c r="H481" s="192"/>
      <c r="I481" s="191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>B481</f>
        <v>Atakan Karazor</v>
      </c>
    </row>
    <row r="482" spans="1:28" s="113" customFormat="1" ht="10.5" customHeight="1" x14ac:dyDescent="0.2">
      <c r="A482" s="200">
        <v>17</v>
      </c>
      <c r="B482" s="190" t="s">
        <v>274</v>
      </c>
      <c r="C482" s="190" t="s">
        <v>2</v>
      </c>
      <c r="D482" s="191" t="s">
        <v>59</v>
      </c>
      <c r="E482" s="191" t="s">
        <v>59</v>
      </c>
      <c r="F482" s="192" t="s">
        <v>59</v>
      </c>
      <c r="G482" s="192" t="s">
        <v>59</v>
      </c>
      <c r="H482" s="192"/>
      <c r="I482" s="191"/>
      <c r="J482" s="181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72"/>
      <c r="AB482" s="175" t="str">
        <f>B482</f>
        <v>Genki Haraguchi (A)</v>
      </c>
    </row>
    <row r="483" spans="1:28" s="113" customFormat="1" ht="10.5" customHeight="1" x14ac:dyDescent="0.2">
      <c r="A483" s="200">
        <v>25</v>
      </c>
      <c r="B483" s="190" t="s">
        <v>247</v>
      </c>
      <c r="C483" s="190" t="s">
        <v>2</v>
      </c>
      <c r="D483" s="191" t="s">
        <v>59</v>
      </c>
      <c r="E483" s="191" t="s">
        <v>59</v>
      </c>
      <c r="F483" s="192" t="s">
        <v>59</v>
      </c>
      <c r="G483" s="192" t="s">
        <v>59</v>
      </c>
      <c r="H483" s="192"/>
      <c r="I483" s="191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si="188"/>
        <v>Lilian Egloff</v>
      </c>
    </row>
    <row r="484" spans="1:28" s="113" customFormat="1" ht="10.5" customHeight="1" x14ac:dyDescent="0.2">
      <c r="A484" s="200">
        <v>27</v>
      </c>
      <c r="B484" s="190" t="s">
        <v>277</v>
      </c>
      <c r="C484" s="190" t="s">
        <v>2</v>
      </c>
      <c r="D484" s="191" t="s">
        <v>59</v>
      </c>
      <c r="E484" s="191" t="s">
        <v>59</v>
      </c>
      <c r="F484" s="192" t="s">
        <v>59</v>
      </c>
      <c r="G484" s="192" t="s">
        <v>59</v>
      </c>
      <c r="H484" s="192"/>
      <c r="I484" s="191"/>
      <c r="J484" s="181"/>
      <c r="K484" s="182"/>
      <c r="L484" s="182"/>
      <c r="M484" s="182"/>
      <c r="N484" s="182"/>
      <c r="O484" s="182"/>
      <c r="P484" s="182"/>
      <c r="Q484" s="182"/>
      <c r="R484" s="182">
        <v>8</v>
      </c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si="188"/>
        <v>Chris Führich</v>
      </c>
    </row>
    <row r="485" spans="1:28" s="113" customFormat="1" ht="10.5" customHeight="1" x14ac:dyDescent="0.2">
      <c r="A485" s="200">
        <v>28</v>
      </c>
      <c r="B485" s="190" t="s">
        <v>278</v>
      </c>
      <c r="C485" s="190" t="s">
        <v>2</v>
      </c>
      <c r="D485" s="191" t="s">
        <v>59</v>
      </c>
      <c r="E485" s="191" t="s">
        <v>59</v>
      </c>
      <c r="F485" s="192" t="s">
        <v>59</v>
      </c>
      <c r="G485" s="192" t="s">
        <v>59</v>
      </c>
      <c r="H485" s="192"/>
      <c r="I485" s="191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88"/>
        <v>Nikolas Nartey (A)</v>
      </c>
    </row>
    <row r="486" spans="1:28" s="113" customFormat="1" ht="10.5" customHeight="1" x14ac:dyDescent="0.2">
      <c r="A486" s="200">
        <v>32</v>
      </c>
      <c r="B486" s="190" t="s">
        <v>494</v>
      </c>
      <c r="C486" s="190" t="s">
        <v>2</v>
      </c>
      <c r="D486" s="191" t="s">
        <v>59</v>
      </c>
      <c r="E486" s="191" t="s">
        <v>59</v>
      </c>
      <c r="F486" s="192" t="s">
        <v>59</v>
      </c>
      <c r="G486" s="192" t="s">
        <v>59</v>
      </c>
      <c r="H486" s="192"/>
      <c r="I486" s="191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ref="AB486:AB489" si="190">B486</f>
        <v>Roberto Massimo</v>
      </c>
    </row>
    <row r="487" spans="1:28" s="113" customFormat="1" ht="10.5" customHeight="1" x14ac:dyDescent="0.2">
      <c r="A487" s="200">
        <v>36</v>
      </c>
      <c r="B487" s="190" t="s">
        <v>385</v>
      </c>
      <c r="C487" s="190" t="s">
        <v>2</v>
      </c>
      <c r="D487" s="191" t="s">
        <v>59</v>
      </c>
      <c r="E487" s="191" t="s">
        <v>59</v>
      </c>
      <c r="F487" s="192" t="s">
        <v>59</v>
      </c>
      <c r="G487" s="192" t="s">
        <v>59</v>
      </c>
      <c r="H487" s="192"/>
      <c r="I487" s="191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si="190"/>
        <v>Laurin Ulrich</v>
      </c>
    </row>
    <row r="488" spans="1:28" s="113" customFormat="1" ht="10.5" customHeight="1" x14ac:dyDescent="0.2">
      <c r="A488" s="200">
        <v>40</v>
      </c>
      <c r="B488" s="190" t="s">
        <v>624</v>
      </c>
      <c r="C488" s="190" t="s">
        <v>2</v>
      </c>
      <c r="D488" s="191" t="s">
        <v>59</v>
      </c>
      <c r="E488" s="191" t="s">
        <v>59</v>
      </c>
      <c r="F488" s="192" t="s">
        <v>59</v>
      </c>
      <c r="G488" s="192" t="s">
        <v>59</v>
      </c>
      <c r="H488" s="192"/>
      <c r="I488" s="191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si="190"/>
        <v>Luca Raimund</v>
      </c>
    </row>
    <row r="489" spans="1:28" s="113" customFormat="1" ht="10.5" customHeight="1" x14ac:dyDescent="0.2">
      <c r="A489" s="200">
        <v>43</v>
      </c>
      <c r="B489" s="190" t="s">
        <v>660</v>
      </c>
      <c r="C489" s="190" t="s">
        <v>2</v>
      </c>
      <c r="D489" s="191" t="s">
        <v>59</v>
      </c>
      <c r="E489" s="191" t="s">
        <v>59</v>
      </c>
      <c r="F489" s="192" t="s">
        <v>59</v>
      </c>
      <c r="G489" s="192" t="s">
        <v>59</v>
      </c>
      <c r="H489" s="192"/>
      <c r="I489" s="191"/>
      <c r="J489" s="181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 t="shared" si="190"/>
        <v>Raul Paula</v>
      </c>
    </row>
    <row r="490" spans="1:28" s="113" customFormat="1" ht="10.5" customHeight="1" x14ac:dyDescent="0.2">
      <c r="A490" s="200">
        <v>46</v>
      </c>
      <c r="B490" s="190" t="s">
        <v>648</v>
      </c>
      <c r="C490" s="190" t="s">
        <v>2</v>
      </c>
      <c r="D490" s="191" t="s">
        <v>59</v>
      </c>
      <c r="E490" s="191" t="s">
        <v>59</v>
      </c>
      <c r="F490" s="192" t="s">
        <v>59</v>
      </c>
      <c r="G490" s="192" t="s">
        <v>59</v>
      </c>
      <c r="H490" s="192"/>
      <c r="I490" s="191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si="188"/>
        <v>Samuele Di Benedetto</v>
      </c>
    </row>
    <row r="491" spans="1:28" s="113" customFormat="1" ht="10.5" customHeight="1" x14ac:dyDescent="0.2">
      <c r="A491" s="201">
        <v>9</v>
      </c>
      <c r="B491" s="195" t="s">
        <v>382</v>
      </c>
      <c r="C491" s="195" t="s">
        <v>3</v>
      </c>
      <c r="D491" s="196" t="s">
        <v>59</v>
      </c>
      <c r="E491" s="196" t="s">
        <v>59</v>
      </c>
      <c r="F491" s="197" t="s">
        <v>59</v>
      </c>
      <c r="G491" s="197" t="s">
        <v>59</v>
      </c>
      <c r="H491" s="197"/>
      <c r="I491" s="19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ref="AB491:AB493" si="191">B491</f>
        <v>Serhou Guirassy (A)</v>
      </c>
    </row>
    <row r="492" spans="1:28" s="113" customFormat="1" ht="10.5" customHeight="1" x14ac:dyDescent="0.2">
      <c r="A492" s="201">
        <v>14</v>
      </c>
      <c r="B492" s="195" t="s">
        <v>276</v>
      </c>
      <c r="C492" s="195" t="s">
        <v>3</v>
      </c>
      <c r="D492" s="196" t="s">
        <v>59</v>
      </c>
      <c r="E492" s="196" t="s">
        <v>59</v>
      </c>
      <c r="F492" s="197" t="s">
        <v>59</v>
      </c>
      <c r="G492" s="197" t="s">
        <v>59</v>
      </c>
      <c r="H492" s="197"/>
      <c r="I492" s="19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 t="shared" si="191"/>
        <v>Silas Katompa Mvumpa (A)</v>
      </c>
    </row>
    <row r="493" spans="1:28" s="113" customFormat="1" ht="10.5" customHeight="1" x14ac:dyDescent="0.2">
      <c r="A493" s="201">
        <v>18</v>
      </c>
      <c r="B493" s="195" t="s">
        <v>495</v>
      </c>
      <c r="C493" s="195" t="s">
        <v>3</v>
      </c>
      <c r="D493" s="196" t="s">
        <v>59</v>
      </c>
      <c r="E493" s="196" t="s">
        <v>59</v>
      </c>
      <c r="F493" s="197" t="s">
        <v>59</v>
      </c>
      <c r="G493" s="197" t="s">
        <v>59</v>
      </c>
      <c r="H493" s="197"/>
      <c r="I493" s="19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si="191"/>
        <v>Jamie Leweling</v>
      </c>
    </row>
    <row r="494" spans="1:28" s="113" customFormat="1" ht="10.5" customHeight="1" x14ac:dyDescent="0.2">
      <c r="A494" s="201">
        <v>19</v>
      </c>
      <c r="B494" s="195" t="s">
        <v>601</v>
      </c>
      <c r="C494" s="195" t="s">
        <v>3</v>
      </c>
      <c r="D494" s="196" t="s">
        <v>59</v>
      </c>
      <c r="E494" s="196" t="s">
        <v>59</v>
      </c>
      <c r="F494" s="197" t="s">
        <v>59</v>
      </c>
      <c r="G494" s="197" t="s">
        <v>59</v>
      </c>
      <c r="H494" s="197"/>
      <c r="I494" s="196"/>
      <c r="J494" s="181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72"/>
      <c r="AB494" s="175" t="str">
        <f>B494</f>
        <v>Jovan Milošević (A)</v>
      </c>
    </row>
    <row r="495" spans="1:28" s="113" customFormat="1" ht="10.5" customHeight="1" x14ac:dyDescent="0.2">
      <c r="A495" s="201">
        <v>26</v>
      </c>
      <c r="B495" s="195" t="s">
        <v>496</v>
      </c>
      <c r="C495" s="195" t="s">
        <v>3</v>
      </c>
      <c r="D495" s="196" t="s">
        <v>59</v>
      </c>
      <c r="E495" s="196" t="s">
        <v>59</v>
      </c>
      <c r="F495" s="197" t="s">
        <v>59</v>
      </c>
      <c r="G495" s="197" t="s">
        <v>59</v>
      </c>
      <c r="H495" s="197"/>
      <c r="I495" s="196"/>
      <c r="J495" s="181"/>
      <c r="K495" s="182"/>
      <c r="L495" s="182"/>
      <c r="M495" s="182"/>
      <c r="N495" s="182"/>
      <c r="O495" s="182"/>
      <c r="P495" s="182"/>
      <c r="Q495" s="182"/>
      <c r="R495" s="182">
        <v>9</v>
      </c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" si="192">B495</f>
        <v>Deniz Undav</v>
      </c>
    </row>
    <row r="496" spans="1:28" ht="15" customHeight="1" thickBot="1" x14ac:dyDescent="0.25">
      <c r="A496" s="219" t="s">
        <v>408</v>
      </c>
      <c r="B496" s="219"/>
      <c r="C496" s="219"/>
      <c r="D496" s="219"/>
      <c r="E496" s="219"/>
      <c r="F496" s="219"/>
      <c r="G496" s="219"/>
      <c r="H496" s="219"/>
      <c r="I496" s="219"/>
      <c r="J496" s="10"/>
      <c r="K496" s="176">
        <v>12</v>
      </c>
      <c r="L496" s="176">
        <v>12</v>
      </c>
      <c r="M496" s="176">
        <v>12</v>
      </c>
      <c r="N496" s="176">
        <v>12</v>
      </c>
      <c r="O496" s="176">
        <v>12</v>
      </c>
      <c r="P496" s="176">
        <v>12</v>
      </c>
      <c r="Q496" s="176">
        <v>12</v>
      </c>
      <c r="R496" s="176">
        <v>12</v>
      </c>
      <c r="S496" s="176">
        <v>12</v>
      </c>
      <c r="T496" s="176">
        <v>12</v>
      </c>
      <c r="U496" s="176">
        <v>12</v>
      </c>
      <c r="V496" s="176">
        <v>12</v>
      </c>
      <c r="W496" s="176">
        <v>12</v>
      </c>
      <c r="X496" s="176">
        <v>12</v>
      </c>
      <c r="Y496" s="176">
        <v>12</v>
      </c>
      <c r="Z496" s="217"/>
      <c r="AB496" s="175" t="str">
        <f>A496</f>
        <v>1.FC Heidenheim</v>
      </c>
    </row>
    <row r="497" spans="1:28" s="113" customFormat="1" ht="10.5" customHeight="1" x14ac:dyDescent="0.2">
      <c r="A497" s="177">
        <v>1</v>
      </c>
      <c r="B497" s="178" t="s">
        <v>497</v>
      </c>
      <c r="C497" s="178" t="s">
        <v>0</v>
      </c>
      <c r="D497" s="179" t="s">
        <v>59</v>
      </c>
      <c r="E497" s="179" t="s">
        <v>59</v>
      </c>
      <c r="F497" s="180" t="s">
        <v>59</v>
      </c>
      <c r="G497" s="180" t="s">
        <v>59</v>
      </c>
      <c r="H497" s="180"/>
      <c r="I497" s="179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ref="AB497:AB499" si="193">B497</f>
        <v>Kevin Müller</v>
      </c>
    </row>
    <row r="498" spans="1:28" s="113" customFormat="1" ht="10.5" customHeight="1" x14ac:dyDescent="0.2">
      <c r="A498" s="177">
        <v>22</v>
      </c>
      <c r="B498" s="178" t="s">
        <v>498</v>
      </c>
      <c r="C498" s="178" t="s">
        <v>0</v>
      </c>
      <c r="D498" s="179" t="s">
        <v>59</v>
      </c>
      <c r="E498" s="179" t="s">
        <v>59</v>
      </c>
      <c r="F498" s="180" t="s">
        <v>59</v>
      </c>
      <c r="G498" s="180" t="s">
        <v>59</v>
      </c>
      <c r="H498" s="180"/>
      <c r="I498" s="179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ref="AB498" si="194">B498</f>
        <v>Vitus Eicher</v>
      </c>
    </row>
    <row r="499" spans="1:28" s="113" customFormat="1" ht="10.5" customHeight="1" x14ac:dyDescent="0.2">
      <c r="A499" s="177">
        <v>34</v>
      </c>
      <c r="B499" s="178" t="s">
        <v>499</v>
      </c>
      <c r="C499" s="178" t="s">
        <v>0</v>
      </c>
      <c r="D499" s="179" t="s">
        <v>59</v>
      </c>
      <c r="E499" s="179" t="s">
        <v>59</v>
      </c>
      <c r="F499" s="180" t="s">
        <v>59</v>
      </c>
      <c r="G499" s="180" t="s">
        <v>59</v>
      </c>
      <c r="H499" s="180"/>
      <c r="I499" s="179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si="193"/>
        <v>Paul Tschernuth (A)</v>
      </c>
    </row>
    <row r="500" spans="1:28" s="113" customFormat="1" ht="10.5" customHeight="1" x14ac:dyDescent="0.2">
      <c r="A500" s="177">
        <v>40</v>
      </c>
      <c r="B500" s="178" t="s">
        <v>500</v>
      </c>
      <c r="C500" s="178" t="s">
        <v>0</v>
      </c>
      <c r="D500" s="179" t="s">
        <v>59</v>
      </c>
      <c r="E500" s="179" t="s">
        <v>59</v>
      </c>
      <c r="F500" s="180" t="s">
        <v>59</v>
      </c>
      <c r="G500" s="180" t="s">
        <v>59</v>
      </c>
      <c r="H500" s="180"/>
      <c r="I500" s="179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ref="AB500" si="195">B500</f>
        <v>Frank Feller</v>
      </c>
    </row>
    <row r="501" spans="1:28" s="113" customFormat="1" ht="10.5" customHeight="1" x14ac:dyDescent="0.2">
      <c r="A501" s="198">
        <v>2</v>
      </c>
      <c r="B501" s="199" t="s">
        <v>501</v>
      </c>
      <c r="C501" s="185" t="s">
        <v>1</v>
      </c>
      <c r="D501" s="186" t="s">
        <v>59</v>
      </c>
      <c r="E501" s="186" t="s">
        <v>59</v>
      </c>
      <c r="F501" s="187" t="s">
        <v>59</v>
      </c>
      <c r="G501" s="187" t="s">
        <v>59</v>
      </c>
      <c r="H501" s="187"/>
      <c r="I501" s="186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 t="shared" ref="AB501" si="196">B501</f>
        <v>Marnon Busch</v>
      </c>
    </row>
    <row r="502" spans="1:28" s="113" customFormat="1" ht="10.5" customHeight="1" x14ac:dyDescent="0.2">
      <c r="A502" s="198">
        <v>4</v>
      </c>
      <c r="B502" s="199" t="s">
        <v>502</v>
      </c>
      <c r="C502" s="185" t="s">
        <v>1</v>
      </c>
      <c r="D502" s="186" t="s">
        <v>59</v>
      </c>
      <c r="E502" s="186" t="s">
        <v>59</v>
      </c>
      <c r="F502" s="187" t="s">
        <v>59</v>
      </c>
      <c r="G502" s="187" t="s">
        <v>59</v>
      </c>
      <c r="H502" s="187"/>
      <c r="I502" s="186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ref="AB502:AB507" si="197">B502</f>
        <v>Tim Siersleben</v>
      </c>
    </row>
    <row r="503" spans="1:28" s="113" customFormat="1" ht="10.5" customHeight="1" x14ac:dyDescent="0.2">
      <c r="A503" s="198">
        <v>6</v>
      </c>
      <c r="B503" s="199" t="s">
        <v>503</v>
      </c>
      <c r="C503" s="185" t="s">
        <v>1</v>
      </c>
      <c r="D503" s="186" t="s">
        <v>59</v>
      </c>
      <c r="E503" s="186" t="s">
        <v>59</v>
      </c>
      <c r="F503" s="187" t="s">
        <v>59</v>
      </c>
      <c r="G503" s="187" t="s">
        <v>59</v>
      </c>
      <c r="H503" s="187"/>
      <c r="I503" s="18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>B503</f>
        <v>Patrick Mainka</v>
      </c>
    </row>
    <row r="504" spans="1:28" s="113" customFormat="1" ht="10.5" customHeight="1" x14ac:dyDescent="0.2">
      <c r="A504" s="198">
        <v>19</v>
      </c>
      <c r="B504" s="199" t="s">
        <v>504</v>
      </c>
      <c r="C504" s="185" t="s">
        <v>1</v>
      </c>
      <c r="D504" s="186" t="s">
        <v>59</v>
      </c>
      <c r="E504" s="186" t="s">
        <v>59</v>
      </c>
      <c r="F504" s="187" t="s">
        <v>59</v>
      </c>
      <c r="G504" s="187" t="s">
        <v>59</v>
      </c>
      <c r="H504" s="187"/>
      <c r="I504" s="186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ref="AB504:AB506" si="198">B504</f>
        <v>Jonas Föhrenbach</v>
      </c>
    </row>
    <row r="505" spans="1:28" s="113" customFormat="1" ht="10.5" customHeight="1" x14ac:dyDescent="0.2">
      <c r="A505" s="198">
        <v>23</v>
      </c>
      <c r="B505" s="199" t="s">
        <v>598</v>
      </c>
      <c r="C505" s="185" t="s">
        <v>1</v>
      </c>
      <c r="D505" s="186" t="s">
        <v>59</v>
      </c>
      <c r="E505" s="186" t="s">
        <v>59</v>
      </c>
      <c r="F505" s="187" t="s">
        <v>59</v>
      </c>
      <c r="G505" s="187" t="s">
        <v>59</v>
      </c>
      <c r="H505" s="187"/>
      <c r="I505" s="18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si="198"/>
        <v>Omar Haktab Traoré</v>
      </c>
    </row>
    <row r="506" spans="1:28" s="113" customFormat="1" ht="10.5" customHeight="1" x14ac:dyDescent="0.2">
      <c r="A506" s="198">
        <v>27</v>
      </c>
      <c r="B506" s="199" t="s">
        <v>505</v>
      </c>
      <c r="C506" s="185" t="s">
        <v>1</v>
      </c>
      <c r="D506" s="186" t="s">
        <v>59</v>
      </c>
      <c r="E506" s="186" t="s">
        <v>59</v>
      </c>
      <c r="F506" s="187" t="s">
        <v>59</v>
      </c>
      <c r="G506" s="187" t="s">
        <v>59</v>
      </c>
      <c r="H506" s="187"/>
      <c r="I506" s="18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si="198"/>
        <v>Thomas Keller</v>
      </c>
    </row>
    <row r="507" spans="1:28" s="113" customFormat="1" ht="10.5" customHeight="1" x14ac:dyDescent="0.2">
      <c r="A507" s="198">
        <v>29</v>
      </c>
      <c r="B507" s="199" t="s">
        <v>506</v>
      </c>
      <c r="C507" s="185" t="s">
        <v>1</v>
      </c>
      <c r="D507" s="186" t="s">
        <v>59</v>
      </c>
      <c r="E507" s="186" t="s">
        <v>59</v>
      </c>
      <c r="F507" s="187" t="s">
        <v>59</v>
      </c>
      <c r="G507" s="187" t="s">
        <v>59</v>
      </c>
      <c r="H507" s="187"/>
      <c r="I507" s="186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si="197"/>
        <v>Seedy Jarju</v>
      </c>
    </row>
    <row r="508" spans="1:28" s="113" customFormat="1" ht="10.5" customHeight="1" x14ac:dyDescent="0.2">
      <c r="A508" s="198">
        <v>30</v>
      </c>
      <c r="B508" s="199" t="s">
        <v>507</v>
      </c>
      <c r="C508" s="185" t="s">
        <v>1</v>
      </c>
      <c r="D508" s="186" t="s">
        <v>59</v>
      </c>
      <c r="E508" s="186" t="s">
        <v>59</v>
      </c>
      <c r="F508" s="187" t="s">
        <v>59</v>
      </c>
      <c r="G508" s="187" t="s">
        <v>59</v>
      </c>
      <c r="H508" s="187"/>
      <c r="I508" s="186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ref="AB508" si="199">B508</f>
        <v>Norman Theuerkauf</v>
      </c>
    </row>
    <row r="509" spans="1:28" s="113" customFormat="1" ht="10.5" customHeight="1" x14ac:dyDescent="0.2">
      <c r="A509" s="200">
        <v>3</v>
      </c>
      <c r="B509" s="190" t="s">
        <v>508</v>
      </c>
      <c r="C509" s="190" t="s">
        <v>2</v>
      </c>
      <c r="D509" s="191" t="s">
        <v>59</v>
      </c>
      <c r="E509" s="191" t="s">
        <v>59</v>
      </c>
      <c r="F509" s="192" t="s">
        <v>59</v>
      </c>
      <c r="G509" s="192" t="s">
        <v>59</v>
      </c>
      <c r="H509" s="192"/>
      <c r="I509" s="191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ref="AB509:AB518" si="200">B509</f>
        <v>Jan Schöppner</v>
      </c>
    </row>
    <row r="510" spans="1:28" s="113" customFormat="1" ht="10.5" customHeight="1" x14ac:dyDescent="0.2">
      <c r="A510" s="200">
        <v>5</v>
      </c>
      <c r="B510" s="190" t="s">
        <v>509</v>
      </c>
      <c r="C510" s="190" t="s">
        <v>2</v>
      </c>
      <c r="D510" s="191" t="s">
        <v>59</v>
      </c>
      <c r="E510" s="191" t="s">
        <v>59</v>
      </c>
      <c r="F510" s="192" t="s">
        <v>59</v>
      </c>
      <c r="G510" s="192" t="s">
        <v>59</v>
      </c>
      <c r="H510" s="192"/>
      <c r="I510" s="191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ref="AB510:AB514" si="201">B510</f>
        <v>Benedikt Gimber</v>
      </c>
    </row>
    <row r="511" spans="1:28" s="113" customFormat="1" ht="10.5" customHeight="1" x14ac:dyDescent="0.2">
      <c r="A511" s="200">
        <v>8</v>
      </c>
      <c r="B511" s="190" t="s">
        <v>599</v>
      </c>
      <c r="C511" s="190" t="s">
        <v>2</v>
      </c>
      <c r="D511" s="191" t="s">
        <v>59</v>
      </c>
      <c r="E511" s="191" t="s">
        <v>59</v>
      </c>
      <c r="F511" s="192" t="s">
        <v>59</v>
      </c>
      <c r="G511" s="192" t="s">
        <v>59</v>
      </c>
      <c r="H511" s="192"/>
      <c r="I511" s="191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si="201"/>
        <v>Eren Sami Dinkçi</v>
      </c>
    </row>
    <row r="512" spans="1:28" s="113" customFormat="1" ht="10.5" customHeight="1" x14ac:dyDescent="0.2">
      <c r="A512" s="200">
        <v>11</v>
      </c>
      <c r="B512" s="190" t="s">
        <v>510</v>
      </c>
      <c r="C512" s="190" t="s">
        <v>2</v>
      </c>
      <c r="D512" s="191" t="s">
        <v>59</v>
      </c>
      <c r="E512" s="191" t="s">
        <v>59</v>
      </c>
      <c r="F512" s="192" t="s">
        <v>59</v>
      </c>
      <c r="G512" s="192" t="s">
        <v>59</v>
      </c>
      <c r="H512" s="192"/>
      <c r="I512" s="191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si="201"/>
        <v>Denis Thomalla</v>
      </c>
    </row>
    <row r="513" spans="1:28" s="113" customFormat="1" ht="10.5" customHeight="1" x14ac:dyDescent="0.2">
      <c r="A513" s="200">
        <v>16</v>
      </c>
      <c r="B513" s="190" t="s">
        <v>511</v>
      </c>
      <c r="C513" s="190" t="s">
        <v>2</v>
      </c>
      <c r="D513" s="191" t="s">
        <v>59</v>
      </c>
      <c r="E513" s="191" t="s">
        <v>59</v>
      </c>
      <c r="F513" s="192" t="s">
        <v>59</v>
      </c>
      <c r="G513" s="192" t="s">
        <v>59</v>
      </c>
      <c r="H513" s="192"/>
      <c r="I513" s="191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si="201"/>
        <v>Kevin Sessa</v>
      </c>
    </row>
    <row r="514" spans="1:28" s="113" customFormat="1" ht="10.5" customHeight="1" x14ac:dyDescent="0.2">
      <c r="A514" s="200">
        <v>17</v>
      </c>
      <c r="B514" s="190" t="s">
        <v>512</v>
      </c>
      <c r="C514" s="190" t="s">
        <v>2</v>
      </c>
      <c r="D514" s="191" t="s">
        <v>59</v>
      </c>
      <c r="E514" s="191" t="s">
        <v>59</v>
      </c>
      <c r="F514" s="192" t="s">
        <v>59</v>
      </c>
      <c r="G514" s="192" t="s">
        <v>59</v>
      </c>
      <c r="H514" s="192"/>
      <c r="I514" s="191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Florian Pick</v>
      </c>
    </row>
    <row r="515" spans="1:28" s="113" customFormat="1" ht="10.5" customHeight="1" x14ac:dyDescent="0.2">
      <c r="A515" s="200">
        <v>21</v>
      </c>
      <c r="B515" s="190" t="s">
        <v>513</v>
      </c>
      <c r="C515" s="190" t="s">
        <v>2</v>
      </c>
      <c r="D515" s="191" t="s">
        <v>59</v>
      </c>
      <c r="E515" s="191" t="s">
        <v>59</v>
      </c>
      <c r="F515" s="192" t="s">
        <v>59</v>
      </c>
      <c r="G515" s="192" t="s">
        <v>59</v>
      </c>
      <c r="H515" s="192"/>
      <c r="I515" s="191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2">B515</f>
        <v>Adrian Beck</v>
      </c>
    </row>
    <row r="516" spans="1:28" s="113" customFormat="1" ht="10.5" customHeight="1" x14ac:dyDescent="0.2">
      <c r="A516" s="200">
        <v>33</v>
      </c>
      <c r="B516" s="190" t="s">
        <v>514</v>
      </c>
      <c r="C516" s="190" t="s">
        <v>2</v>
      </c>
      <c r="D516" s="191" t="s">
        <v>59</v>
      </c>
      <c r="E516" s="191" t="s">
        <v>59</v>
      </c>
      <c r="F516" s="192" t="s">
        <v>59</v>
      </c>
      <c r="G516" s="192" t="s">
        <v>59</v>
      </c>
      <c r="H516" s="192"/>
      <c r="I516" s="191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72"/>
      <c r="AB516" s="175" t="str">
        <f t="shared" si="200"/>
        <v>Lennard Maloney</v>
      </c>
    </row>
    <row r="517" spans="1:28" s="113" customFormat="1" ht="10.5" customHeight="1" x14ac:dyDescent="0.2">
      <c r="A517" s="200">
        <v>36</v>
      </c>
      <c r="B517" s="190" t="s">
        <v>600</v>
      </c>
      <c r="C517" s="190" t="s">
        <v>2</v>
      </c>
      <c r="D517" s="191" t="s">
        <v>59</v>
      </c>
      <c r="E517" s="191" t="s">
        <v>59</v>
      </c>
      <c r="F517" s="192" t="s">
        <v>59</v>
      </c>
      <c r="G517" s="192" t="s">
        <v>59</v>
      </c>
      <c r="H517" s="192"/>
      <c r="I517" s="191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72"/>
      <c r="AB517" s="175" t="str">
        <f t="shared" ref="AB517" si="203">B517</f>
        <v>Luka Janeš</v>
      </c>
    </row>
    <row r="518" spans="1:28" s="113" customFormat="1" ht="10.5" customHeight="1" x14ac:dyDescent="0.2">
      <c r="A518" s="200">
        <v>37</v>
      </c>
      <c r="B518" s="190" t="s">
        <v>515</v>
      </c>
      <c r="C518" s="190" t="s">
        <v>2</v>
      </c>
      <c r="D518" s="191" t="s">
        <v>59</v>
      </c>
      <c r="E518" s="191" t="s">
        <v>59</v>
      </c>
      <c r="F518" s="192" t="s">
        <v>59</v>
      </c>
      <c r="G518" s="192" t="s">
        <v>59</v>
      </c>
      <c r="H518" s="192"/>
      <c r="I518" s="191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72"/>
      <c r="AB518" s="175" t="str">
        <f t="shared" si="200"/>
        <v>Jan-Niklas Beste</v>
      </c>
    </row>
    <row r="519" spans="1:28" s="113" customFormat="1" ht="10.5" customHeight="1" x14ac:dyDescent="0.2">
      <c r="A519" s="201">
        <v>9</v>
      </c>
      <c r="B519" s="195" t="s">
        <v>516</v>
      </c>
      <c r="C519" s="195" t="s">
        <v>3</v>
      </c>
      <c r="D519" s="196" t="s">
        <v>59</v>
      </c>
      <c r="E519" s="196" t="s">
        <v>59</v>
      </c>
      <c r="F519" s="197" t="s">
        <v>59</v>
      </c>
      <c r="G519" s="197" t="s">
        <v>59</v>
      </c>
      <c r="H519" s="197"/>
      <c r="I519" s="19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72"/>
      <c r="AB519" s="175" t="str">
        <f t="shared" ref="AB519" si="204">B519</f>
        <v>Stefan Schimmer</v>
      </c>
    </row>
    <row r="520" spans="1:28" s="113" customFormat="1" ht="10.5" customHeight="1" x14ac:dyDescent="0.2">
      <c r="A520" s="201">
        <v>10</v>
      </c>
      <c r="B520" s="195" t="s">
        <v>517</v>
      </c>
      <c r="C520" s="195" t="s">
        <v>3</v>
      </c>
      <c r="D520" s="196" t="s">
        <v>59</v>
      </c>
      <c r="E520" s="196" t="s">
        <v>59</v>
      </c>
      <c r="F520" s="197" t="s">
        <v>59</v>
      </c>
      <c r="G520" s="197" t="s">
        <v>59</v>
      </c>
      <c r="H520" s="197"/>
      <c r="I520" s="19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72"/>
      <c r="AB520" s="175" t="str">
        <f t="shared" ref="AB520" si="205">B520</f>
        <v>Tim Kleindienst</v>
      </c>
    </row>
    <row r="521" spans="1:28" s="113" customFormat="1" ht="10.5" customHeight="1" x14ac:dyDescent="0.2">
      <c r="A521" s="201">
        <v>18</v>
      </c>
      <c r="B521" s="195" t="s">
        <v>518</v>
      </c>
      <c r="C521" s="195" t="s">
        <v>3</v>
      </c>
      <c r="D521" s="196" t="s">
        <v>59</v>
      </c>
      <c r="E521" s="196" t="s">
        <v>59</v>
      </c>
      <c r="F521" s="197" t="s">
        <v>59</v>
      </c>
      <c r="G521" s="197" t="s">
        <v>59</v>
      </c>
      <c r="H521" s="197"/>
      <c r="I521" s="19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72"/>
      <c r="AB521" s="175" t="str">
        <f t="shared" ref="AB521:AB524" si="206">B521</f>
        <v>Marvin Pieringer</v>
      </c>
    </row>
    <row r="522" spans="1:28" s="113" customFormat="1" ht="10.5" customHeight="1" x14ac:dyDescent="0.2">
      <c r="A522" s="201">
        <v>20</v>
      </c>
      <c r="B522" s="195" t="s">
        <v>519</v>
      </c>
      <c r="C522" s="195" t="s">
        <v>3</v>
      </c>
      <c r="D522" s="196" t="s">
        <v>59</v>
      </c>
      <c r="E522" s="196" t="s">
        <v>59</v>
      </c>
      <c r="F522" s="197" t="s">
        <v>59</v>
      </c>
      <c r="G522" s="197" t="s">
        <v>59</v>
      </c>
      <c r="H522" s="197"/>
      <c r="I522" s="19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72"/>
      <c r="AB522" s="175" t="str">
        <f t="shared" si="206"/>
        <v>Nikola Dovedan (A)</v>
      </c>
    </row>
    <row r="523" spans="1:28" s="113" customFormat="1" ht="10.5" customHeight="1" x14ac:dyDescent="0.2">
      <c r="A523" s="201">
        <v>24</v>
      </c>
      <c r="B523" s="195" t="s">
        <v>520</v>
      </c>
      <c r="C523" s="195" t="s">
        <v>3</v>
      </c>
      <c r="D523" s="196" t="s">
        <v>59</v>
      </c>
      <c r="E523" s="196" t="s">
        <v>59</v>
      </c>
      <c r="F523" s="197" t="s">
        <v>59</v>
      </c>
      <c r="G523" s="197" t="s">
        <v>59</v>
      </c>
      <c r="H523" s="197"/>
      <c r="I523" s="196"/>
      <c r="J523" s="181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72"/>
      <c r="AB523" s="175" t="str">
        <f t="shared" ref="AB523" si="207">B523</f>
        <v>Christian Kühlwetter</v>
      </c>
    </row>
    <row r="524" spans="1:28" s="113" customFormat="1" ht="10.5" customHeight="1" x14ac:dyDescent="0.2">
      <c r="A524" s="201">
        <v>44</v>
      </c>
      <c r="B524" s="195" t="s">
        <v>521</v>
      </c>
      <c r="C524" s="195" t="s">
        <v>3</v>
      </c>
      <c r="D524" s="196" t="s">
        <v>59</v>
      </c>
      <c r="E524" s="196" t="s">
        <v>59</v>
      </c>
      <c r="F524" s="197" t="s">
        <v>59</v>
      </c>
      <c r="G524" s="197" t="s">
        <v>59</v>
      </c>
      <c r="H524" s="197"/>
      <c r="I524" s="196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72"/>
      <c r="AB524" s="175" t="str">
        <f t="shared" si="206"/>
        <v>Elidon Qenaj</v>
      </c>
    </row>
    <row r="525" spans="1:28" ht="15" customHeight="1" thickBot="1" x14ac:dyDescent="0.25">
      <c r="A525" s="219" t="s">
        <v>409</v>
      </c>
      <c r="B525" s="219"/>
      <c r="C525" s="219"/>
      <c r="D525" s="219"/>
      <c r="E525" s="219"/>
      <c r="F525" s="219"/>
      <c r="G525" s="219"/>
      <c r="H525" s="219"/>
      <c r="I525" s="219"/>
      <c r="J525" s="10"/>
      <c r="K525" s="176">
        <v>12</v>
      </c>
      <c r="L525" s="176">
        <v>12</v>
      </c>
      <c r="M525" s="176">
        <v>12</v>
      </c>
      <c r="N525" s="176">
        <v>12</v>
      </c>
      <c r="O525" s="176">
        <v>12</v>
      </c>
      <c r="P525" s="176">
        <v>12</v>
      </c>
      <c r="Q525" s="176">
        <v>12</v>
      </c>
      <c r="R525" s="176">
        <v>12</v>
      </c>
      <c r="S525" s="176">
        <v>12</v>
      </c>
      <c r="T525" s="176">
        <v>12</v>
      </c>
      <c r="U525" s="176">
        <v>12</v>
      </c>
      <c r="V525" s="176">
        <v>12</v>
      </c>
      <c r="W525" s="176">
        <v>12</v>
      </c>
      <c r="X525" s="176">
        <v>12</v>
      </c>
      <c r="Y525" s="176">
        <v>12</v>
      </c>
      <c r="Z525" s="217"/>
      <c r="AB525" s="175" t="str">
        <f>A525</f>
        <v>SV Darmstadt 98</v>
      </c>
    </row>
    <row r="526" spans="1:28" s="113" customFormat="1" ht="10.5" customHeight="1" x14ac:dyDescent="0.2">
      <c r="A526" s="177">
        <v>1</v>
      </c>
      <c r="B526" s="178" t="s">
        <v>522</v>
      </c>
      <c r="C526" s="178" t="s">
        <v>0</v>
      </c>
      <c r="D526" s="179" t="s">
        <v>59</v>
      </c>
      <c r="E526" s="179" t="s">
        <v>59</v>
      </c>
      <c r="F526" s="180" t="s">
        <v>59</v>
      </c>
      <c r="G526" s="180" t="s">
        <v>59</v>
      </c>
      <c r="H526" s="180"/>
      <c r="I526" s="179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72"/>
      <c r="AB526" s="175" t="str">
        <f t="shared" ref="AB526" si="208">B526</f>
        <v>Marcel Schuhen</v>
      </c>
    </row>
    <row r="527" spans="1:28" s="113" customFormat="1" ht="10.5" customHeight="1" x14ac:dyDescent="0.2">
      <c r="A527" s="177">
        <v>13</v>
      </c>
      <c r="B527" s="178" t="s">
        <v>523</v>
      </c>
      <c r="C527" s="178" t="s">
        <v>0</v>
      </c>
      <c r="D527" s="179" t="s">
        <v>59</v>
      </c>
      <c r="E527" s="179" t="s">
        <v>59</v>
      </c>
      <c r="F527" s="180" t="s">
        <v>59</v>
      </c>
      <c r="G527" s="180" t="s">
        <v>59</v>
      </c>
      <c r="H527" s="180"/>
      <c r="I527" s="179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72"/>
      <c r="AB527" s="175" t="str">
        <f t="shared" ref="AB527:AB528" si="209">B527</f>
        <v>Morten Behrens</v>
      </c>
    </row>
    <row r="528" spans="1:28" s="113" customFormat="1" ht="10.5" customHeight="1" x14ac:dyDescent="0.2">
      <c r="A528" s="177">
        <v>30</v>
      </c>
      <c r="B528" s="178" t="s">
        <v>524</v>
      </c>
      <c r="C528" s="178" t="s">
        <v>0</v>
      </c>
      <c r="D528" s="179" t="s">
        <v>59</v>
      </c>
      <c r="E528" s="179" t="s">
        <v>59</v>
      </c>
      <c r="F528" s="180" t="s">
        <v>59</v>
      </c>
      <c r="G528" s="180" t="s">
        <v>59</v>
      </c>
      <c r="H528" s="180"/>
      <c r="I528" s="179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72"/>
      <c r="AB528" s="175" t="str">
        <f t="shared" si="209"/>
        <v>Alexander Brunst</v>
      </c>
    </row>
    <row r="529" spans="1:28" s="113" customFormat="1" ht="10.5" customHeight="1" x14ac:dyDescent="0.2">
      <c r="A529" s="177">
        <v>45</v>
      </c>
      <c r="B529" s="178" t="s">
        <v>525</v>
      </c>
      <c r="C529" s="178" t="s">
        <v>0</v>
      </c>
      <c r="D529" s="179" t="s">
        <v>59</v>
      </c>
      <c r="E529" s="179" t="s">
        <v>59</v>
      </c>
      <c r="F529" s="180" t="s">
        <v>59</v>
      </c>
      <c r="G529" s="180" t="s">
        <v>59</v>
      </c>
      <c r="H529" s="180"/>
      <c r="I529" s="179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72"/>
      <c r="AB529" s="175" t="str">
        <f t="shared" ref="AB529" si="210">B529</f>
        <v>Max Wendt</v>
      </c>
    </row>
    <row r="530" spans="1:28" ht="10.5" customHeight="1" x14ac:dyDescent="0.2">
      <c r="A530" s="198">
        <v>3</v>
      </c>
      <c r="B530" s="199" t="s">
        <v>526</v>
      </c>
      <c r="C530" s="185" t="s">
        <v>1</v>
      </c>
      <c r="D530" s="186" t="s">
        <v>59</v>
      </c>
      <c r="E530" s="186" t="s">
        <v>59</v>
      </c>
      <c r="F530" s="187" t="s">
        <v>59</v>
      </c>
      <c r="G530" s="187" t="s">
        <v>59</v>
      </c>
      <c r="H530" s="187"/>
      <c r="I530" s="186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1" si="211">B530</f>
        <v>Thomas Isherwood (A)</v>
      </c>
    </row>
    <row r="531" spans="1:28" ht="10.5" customHeight="1" x14ac:dyDescent="0.2">
      <c r="A531" s="198">
        <v>4</v>
      </c>
      <c r="B531" s="199" t="s">
        <v>527</v>
      </c>
      <c r="C531" s="185" t="s">
        <v>1</v>
      </c>
      <c r="D531" s="186" t="s">
        <v>59</v>
      </c>
      <c r="E531" s="186" t="s">
        <v>59</v>
      </c>
      <c r="F531" s="187" t="s">
        <v>59</v>
      </c>
      <c r="G531" s="187" t="s">
        <v>59</v>
      </c>
      <c r="H531" s="187"/>
      <c r="I531" s="186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si="211"/>
        <v>Christoph Zimmermann</v>
      </c>
    </row>
    <row r="532" spans="1:28" ht="10.5" customHeight="1" x14ac:dyDescent="0.2">
      <c r="A532" s="198">
        <v>5</v>
      </c>
      <c r="B532" s="199" t="s">
        <v>528</v>
      </c>
      <c r="C532" s="185" t="s">
        <v>1</v>
      </c>
      <c r="D532" s="186" t="s">
        <v>59</v>
      </c>
      <c r="E532" s="186" t="s">
        <v>59</v>
      </c>
      <c r="F532" s="187" t="s">
        <v>59</v>
      </c>
      <c r="G532" s="187" t="s">
        <v>59</v>
      </c>
      <c r="H532" s="187"/>
      <c r="I532" s="18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 t="shared" ref="AB532:AB533" si="212">B532</f>
        <v>Matej Maglica (A)</v>
      </c>
    </row>
    <row r="533" spans="1:28" ht="10.5" customHeight="1" x14ac:dyDescent="0.2">
      <c r="A533" s="198">
        <v>14</v>
      </c>
      <c r="B533" s="199" t="s">
        <v>529</v>
      </c>
      <c r="C533" s="185" t="s">
        <v>1</v>
      </c>
      <c r="D533" s="186" t="s">
        <v>59</v>
      </c>
      <c r="E533" s="186" t="s">
        <v>59</v>
      </c>
      <c r="F533" s="187" t="s">
        <v>59</v>
      </c>
      <c r="G533" s="187" t="s">
        <v>59</v>
      </c>
      <c r="H533" s="187"/>
      <c r="I533" s="18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 t="shared" si="212"/>
        <v>Christoph Klarer (A)</v>
      </c>
    </row>
    <row r="534" spans="1:28" ht="10.5" customHeight="1" x14ac:dyDescent="0.2">
      <c r="A534" s="198">
        <v>19</v>
      </c>
      <c r="B534" s="199" t="s">
        <v>530</v>
      </c>
      <c r="C534" s="185" t="s">
        <v>1</v>
      </c>
      <c r="D534" s="186" t="s">
        <v>59</v>
      </c>
      <c r="E534" s="186" t="s">
        <v>59</v>
      </c>
      <c r="F534" s="187" t="s">
        <v>59</v>
      </c>
      <c r="G534" s="187" t="s">
        <v>59</v>
      </c>
      <c r="H534" s="187"/>
      <c r="I534" s="18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>B534</f>
        <v>Emir Karic (A)</v>
      </c>
    </row>
    <row r="535" spans="1:28" ht="10.5" customHeight="1" x14ac:dyDescent="0.2">
      <c r="A535" s="198">
        <v>20</v>
      </c>
      <c r="B535" s="199" t="s">
        <v>531</v>
      </c>
      <c r="C535" s="185" t="s">
        <v>1</v>
      </c>
      <c r="D535" s="186" t="s">
        <v>59</v>
      </c>
      <c r="E535" s="186" t="s">
        <v>59</v>
      </c>
      <c r="F535" s="187" t="s">
        <v>59</v>
      </c>
      <c r="G535" s="187" t="s">
        <v>59</v>
      </c>
      <c r="H535" s="187"/>
      <c r="I535" s="18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>B535</f>
        <v>Jannik Müller</v>
      </c>
    </row>
    <row r="536" spans="1:28" ht="10.5" customHeight="1" x14ac:dyDescent="0.2">
      <c r="A536" s="198">
        <v>26</v>
      </c>
      <c r="B536" s="199" t="s">
        <v>532</v>
      </c>
      <c r="C536" s="185" t="s">
        <v>1</v>
      </c>
      <c r="D536" s="186" t="s">
        <v>59</v>
      </c>
      <c r="E536" s="186" t="s">
        <v>59</v>
      </c>
      <c r="F536" s="187" t="s">
        <v>59</v>
      </c>
      <c r="G536" s="187" t="s">
        <v>59</v>
      </c>
      <c r="H536" s="187"/>
      <c r="I536" s="18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 t="shared" ref="AB536" si="213">B536</f>
        <v>Matthias Bader</v>
      </c>
    </row>
    <row r="537" spans="1:28" ht="10.5" customHeight="1" x14ac:dyDescent="0.2">
      <c r="A537" s="198">
        <v>32</v>
      </c>
      <c r="B537" s="199" t="s">
        <v>533</v>
      </c>
      <c r="C537" s="185" t="s">
        <v>1</v>
      </c>
      <c r="D537" s="186" t="s">
        <v>59</v>
      </c>
      <c r="E537" s="186" t="s">
        <v>59</v>
      </c>
      <c r="F537" s="187" t="s">
        <v>59</v>
      </c>
      <c r="G537" s="187" t="s">
        <v>59</v>
      </c>
      <c r="H537" s="187"/>
      <c r="I537" s="186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>B537</f>
        <v>Fabian Holland</v>
      </c>
    </row>
    <row r="538" spans="1:28" ht="10.5" customHeight="1" x14ac:dyDescent="0.2">
      <c r="A538" s="198">
        <v>38</v>
      </c>
      <c r="B538" s="199" t="s">
        <v>534</v>
      </c>
      <c r="C538" s="185" t="s">
        <v>1</v>
      </c>
      <c r="D538" s="186" t="s">
        <v>59</v>
      </c>
      <c r="E538" s="186" t="s">
        <v>59</v>
      </c>
      <c r="F538" s="187" t="s">
        <v>59</v>
      </c>
      <c r="G538" s="187" t="s">
        <v>59</v>
      </c>
      <c r="H538" s="187"/>
      <c r="I538" s="186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ref="AB538" si="214">B538</f>
        <v>Clemens Riedel</v>
      </c>
    </row>
    <row r="539" spans="1:28" ht="10.5" customHeight="1" x14ac:dyDescent="0.2">
      <c r="A539" s="200">
        <v>6</v>
      </c>
      <c r="B539" s="190" t="s">
        <v>535</v>
      </c>
      <c r="C539" s="190" t="s">
        <v>2</v>
      </c>
      <c r="D539" s="191" t="s">
        <v>59</v>
      </c>
      <c r="E539" s="191" t="s">
        <v>59</v>
      </c>
      <c r="F539" s="192" t="s">
        <v>59</v>
      </c>
      <c r="G539" s="192" t="s">
        <v>59</v>
      </c>
      <c r="H539" s="192"/>
      <c r="I539" s="191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ref="AB539:AB542" si="215">B539</f>
        <v>Marvin Mehlem</v>
      </c>
    </row>
    <row r="540" spans="1:28" ht="10.5" customHeight="1" x14ac:dyDescent="0.2">
      <c r="A540" s="200">
        <v>7</v>
      </c>
      <c r="B540" s="190" t="s">
        <v>536</v>
      </c>
      <c r="C540" s="190" t="s">
        <v>2</v>
      </c>
      <c r="D540" s="191" t="s">
        <v>59</v>
      </c>
      <c r="E540" s="191" t="s">
        <v>59</v>
      </c>
      <c r="F540" s="192" t="s">
        <v>59</v>
      </c>
      <c r="G540" s="192" t="s">
        <v>59</v>
      </c>
      <c r="H540" s="192"/>
      <c r="I540" s="191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5"/>
        <v>Braydon Manu (A)</v>
      </c>
    </row>
    <row r="541" spans="1:28" ht="10.5" customHeight="1" x14ac:dyDescent="0.2">
      <c r="A541" s="200">
        <v>8</v>
      </c>
      <c r="B541" s="190" t="s">
        <v>537</v>
      </c>
      <c r="C541" s="190" t="s">
        <v>2</v>
      </c>
      <c r="D541" s="191" t="s">
        <v>59</v>
      </c>
      <c r="E541" s="191" t="s">
        <v>59</v>
      </c>
      <c r="F541" s="192" t="s">
        <v>59</v>
      </c>
      <c r="G541" s="192" t="s">
        <v>59</v>
      </c>
      <c r="H541" s="192"/>
      <c r="I541" s="191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si="215"/>
        <v>Fabian Schnellhardt</v>
      </c>
    </row>
    <row r="542" spans="1:28" ht="10.5" customHeight="1" x14ac:dyDescent="0.2">
      <c r="A542" s="200">
        <v>11</v>
      </c>
      <c r="B542" s="190" t="s">
        <v>538</v>
      </c>
      <c r="C542" s="190" t="s">
        <v>2</v>
      </c>
      <c r="D542" s="191" t="s">
        <v>59</v>
      </c>
      <c r="E542" s="191" t="s">
        <v>59</v>
      </c>
      <c r="F542" s="192" t="s">
        <v>59</v>
      </c>
      <c r="G542" s="192" t="s">
        <v>59</v>
      </c>
      <c r="H542" s="192"/>
      <c r="I542" s="191"/>
      <c r="J542" s="181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B542" s="175" t="str">
        <f t="shared" si="215"/>
        <v>Tobias Kempe</v>
      </c>
    </row>
    <row r="543" spans="1:28" ht="10.5" customHeight="1" x14ac:dyDescent="0.2">
      <c r="A543" s="200">
        <v>15</v>
      </c>
      <c r="B543" s="190" t="s">
        <v>539</v>
      </c>
      <c r="C543" s="190" t="s">
        <v>2</v>
      </c>
      <c r="D543" s="191" t="s">
        <v>59</v>
      </c>
      <c r="E543" s="191" t="s">
        <v>59</v>
      </c>
      <c r="F543" s="192" t="s">
        <v>59</v>
      </c>
      <c r="G543" s="192" t="s">
        <v>59</v>
      </c>
      <c r="H543" s="192"/>
      <c r="I543" s="191"/>
      <c r="J543" s="181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B543" s="175" t="str">
        <f t="shared" ref="AB543:AB550" si="216">B543</f>
        <v>Fabian Nürnberger</v>
      </c>
    </row>
    <row r="544" spans="1:28" ht="10.5" customHeight="1" x14ac:dyDescent="0.2">
      <c r="A544" s="200">
        <v>16</v>
      </c>
      <c r="B544" s="190" t="s">
        <v>540</v>
      </c>
      <c r="C544" s="190" t="s">
        <v>2</v>
      </c>
      <c r="D544" s="191" t="s">
        <v>59</v>
      </c>
      <c r="E544" s="191" t="s">
        <v>59</v>
      </c>
      <c r="F544" s="192" t="s">
        <v>59</v>
      </c>
      <c r="G544" s="192" t="s">
        <v>59</v>
      </c>
      <c r="H544" s="192"/>
      <c r="I544" s="191"/>
      <c r="J544" s="181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B544" s="175" t="str">
        <f t="shared" ref="AB544:AB545" si="217">B544</f>
        <v>Andreas Müller</v>
      </c>
    </row>
    <row r="545" spans="1:28" ht="10.5" customHeight="1" x14ac:dyDescent="0.2">
      <c r="A545" s="200">
        <v>17</v>
      </c>
      <c r="B545" s="190" t="s">
        <v>467</v>
      </c>
      <c r="C545" s="190" t="s">
        <v>2</v>
      </c>
      <c r="D545" s="191" t="s">
        <v>59</v>
      </c>
      <c r="E545" s="191" t="s">
        <v>59</v>
      </c>
      <c r="F545" s="192" t="s">
        <v>59</v>
      </c>
      <c r="G545" s="192" t="s">
        <v>59</v>
      </c>
      <c r="H545" s="192"/>
      <c r="I545" s="191"/>
      <c r="J545" s="181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B545" s="175" t="str">
        <f t="shared" si="217"/>
        <v>Julian Justvan</v>
      </c>
    </row>
    <row r="546" spans="1:28" ht="10.5" customHeight="1" x14ac:dyDescent="0.2">
      <c r="A546" s="200">
        <v>18</v>
      </c>
      <c r="B546" s="190" t="s">
        <v>541</v>
      </c>
      <c r="C546" s="190" t="s">
        <v>2</v>
      </c>
      <c r="D546" s="191" t="s">
        <v>59</v>
      </c>
      <c r="E546" s="191" t="s">
        <v>59</v>
      </c>
      <c r="F546" s="192" t="s">
        <v>59</v>
      </c>
      <c r="G546" s="192" t="s">
        <v>59</v>
      </c>
      <c r="H546" s="192"/>
      <c r="I546" s="191"/>
      <c r="J546" s="181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B546" s="175" t="str">
        <f t="shared" si="216"/>
        <v>Mathias Honsak (A)</v>
      </c>
    </row>
    <row r="547" spans="1:28" ht="10.5" customHeight="1" x14ac:dyDescent="0.2">
      <c r="A547" s="200">
        <v>23</v>
      </c>
      <c r="B547" s="190" t="s">
        <v>542</v>
      </c>
      <c r="C547" s="190" t="s">
        <v>2</v>
      </c>
      <c r="D547" s="191" t="s">
        <v>59</v>
      </c>
      <c r="E547" s="191" t="s">
        <v>59</v>
      </c>
      <c r="F547" s="192" t="s">
        <v>59</v>
      </c>
      <c r="G547" s="192" t="s">
        <v>59</v>
      </c>
      <c r="H547" s="192"/>
      <c r="I547" s="191"/>
      <c r="J547" s="181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B547" s="175" t="str">
        <f t="shared" ref="AB547" si="218">B547</f>
        <v>Klaus Gjasula (A)</v>
      </c>
    </row>
    <row r="548" spans="1:28" ht="10.5" customHeight="1" x14ac:dyDescent="0.2">
      <c r="A548" s="200">
        <v>28</v>
      </c>
      <c r="B548" s="190" t="s">
        <v>354</v>
      </c>
      <c r="C548" s="190" t="s">
        <v>2</v>
      </c>
      <c r="D548" s="191" t="s">
        <v>59</v>
      </c>
      <c r="E548" s="191" t="s">
        <v>59</v>
      </c>
      <c r="F548" s="192" t="s">
        <v>59</v>
      </c>
      <c r="G548" s="192" t="s">
        <v>59</v>
      </c>
      <c r="H548" s="192"/>
      <c r="I548" s="191"/>
      <c r="J548" s="181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B548" s="175" t="str">
        <f t="shared" si="216"/>
        <v>Bartol Franjic (A)</v>
      </c>
    </row>
    <row r="549" spans="1:28" ht="10.5" customHeight="1" x14ac:dyDescent="0.2">
      <c r="A549" s="201">
        <v>9</v>
      </c>
      <c r="B549" s="195" t="s">
        <v>543</v>
      </c>
      <c r="C549" s="195" t="s">
        <v>3</v>
      </c>
      <c r="D549" s="196" t="s">
        <v>59</v>
      </c>
      <c r="E549" s="196" t="s">
        <v>59</v>
      </c>
      <c r="F549" s="197" t="s">
        <v>59</v>
      </c>
      <c r="G549" s="197" t="s">
        <v>59</v>
      </c>
      <c r="H549" s="197"/>
      <c r="I549" s="196"/>
      <c r="J549" s="181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B549" s="175" t="str">
        <f t="shared" si="216"/>
        <v>Fraser Hornby (A)</v>
      </c>
    </row>
    <row r="550" spans="1:28" ht="10.5" customHeight="1" x14ac:dyDescent="0.2">
      <c r="A550" s="201">
        <v>22</v>
      </c>
      <c r="B550" s="195" t="s">
        <v>544</v>
      </c>
      <c r="C550" s="195" t="s">
        <v>3</v>
      </c>
      <c r="D550" s="196" t="s">
        <v>59</v>
      </c>
      <c r="E550" s="196" t="s">
        <v>59</v>
      </c>
      <c r="F550" s="197" t="s">
        <v>59</v>
      </c>
      <c r="G550" s="197" t="s">
        <v>59</v>
      </c>
      <c r="H550" s="197"/>
      <c r="I550" s="196"/>
      <c r="J550" s="181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AB550" s="175" t="str">
        <f t="shared" si="216"/>
        <v>Aaron Seydel</v>
      </c>
    </row>
    <row r="551" spans="1:28" ht="10.5" customHeight="1" x14ac:dyDescent="0.2">
      <c r="A551" s="201">
        <v>24</v>
      </c>
      <c r="B551" s="195" t="s">
        <v>565</v>
      </c>
      <c r="C551" s="195" t="s">
        <v>3</v>
      </c>
      <c r="D551" s="196" t="s">
        <v>59</v>
      </c>
      <c r="E551" s="196" t="s">
        <v>59</v>
      </c>
      <c r="F551" s="197" t="s">
        <v>59</v>
      </c>
      <c r="G551" s="197" t="s">
        <v>59</v>
      </c>
      <c r="H551" s="197"/>
      <c r="I551" s="196"/>
      <c r="J551" s="181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AB551" s="175" t="str">
        <f t="shared" ref="AB551:AB555" si="219">B551</f>
        <v>Luca Pfeiffer</v>
      </c>
    </row>
    <row r="552" spans="1:28" ht="10.5" customHeight="1" x14ac:dyDescent="0.2">
      <c r="A552" s="201">
        <v>25</v>
      </c>
      <c r="B552" s="195" t="s">
        <v>661</v>
      </c>
      <c r="C552" s="195" t="s">
        <v>3</v>
      </c>
      <c r="D552" s="196" t="s">
        <v>59</v>
      </c>
      <c r="E552" s="196" t="s">
        <v>59</v>
      </c>
      <c r="F552" s="197" t="s">
        <v>59</v>
      </c>
      <c r="G552" s="197" t="s">
        <v>59</v>
      </c>
      <c r="H552" s="197"/>
      <c r="I552" s="196"/>
      <c r="J552" s="181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AB552" s="175" t="str">
        <f t="shared" si="219"/>
        <v>Gerrit Holtmann</v>
      </c>
    </row>
    <row r="553" spans="1:28" ht="10.5" customHeight="1" x14ac:dyDescent="0.2">
      <c r="A553" s="201">
        <v>27</v>
      </c>
      <c r="B553" s="195" t="s">
        <v>336</v>
      </c>
      <c r="C553" s="195" t="s">
        <v>3</v>
      </c>
      <c r="D553" s="196" t="s">
        <v>59</v>
      </c>
      <c r="E553" s="196" t="s">
        <v>59</v>
      </c>
      <c r="F553" s="197" t="s">
        <v>59</v>
      </c>
      <c r="G553" s="197" t="s">
        <v>59</v>
      </c>
      <c r="H553" s="197"/>
      <c r="I553" s="196"/>
      <c r="J553" s="181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AB553" s="175" t="str">
        <f t="shared" ref="AB553" si="220">B553</f>
        <v>Tim Skarke</v>
      </c>
    </row>
    <row r="554" spans="1:28" ht="10.5" customHeight="1" x14ac:dyDescent="0.2">
      <c r="A554" s="201">
        <v>29</v>
      </c>
      <c r="B554" s="195" t="s">
        <v>545</v>
      </c>
      <c r="C554" s="195" t="s">
        <v>3</v>
      </c>
      <c r="D554" s="196" t="s">
        <v>59</v>
      </c>
      <c r="E554" s="196" t="s">
        <v>59</v>
      </c>
      <c r="F554" s="197" t="s">
        <v>59</v>
      </c>
      <c r="G554" s="197" t="s">
        <v>59</v>
      </c>
      <c r="H554" s="197"/>
      <c r="I554" s="196"/>
      <c r="J554" s="181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AB554" s="175" t="str">
        <f t="shared" si="219"/>
        <v>Oscar Vilhelmsson (A)</v>
      </c>
    </row>
    <row r="555" spans="1:28" ht="10.5" customHeight="1" x14ac:dyDescent="0.2">
      <c r="A555" s="201">
        <v>42</v>
      </c>
      <c r="B555" s="195" t="s">
        <v>546</v>
      </c>
      <c r="C555" s="195" t="s">
        <v>3</v>
      </c>
      <c r="D555" s="196" t="s">
        <v>59</v>
      </c>
      <c r="E555" s="196" t="s">
        <v>59</v>
      </c>
      <c r="F555" s="197" t="s">
        <v>59</v>
      </c>
      <c r="G555" s="197" t="s">
        <v>59</v>
      </c>
      <c r="H555" s="197"/>
      <c r="I555" s="196"/>
      <c r="J555" s="181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AB555" s="175" t="str">
        <f t="shared" si="219"/>
        <v>Fabio Torsiello</v>
      </c>
    </row>
  </sheetData>
  <autoFilter ref="K1:AB555" xr:uid="{00000000-0009-0000-0000-000001000000}"/>
  <mergeCells count="18">
    <mergeCell ref="A2:I2"/>
    <mergeCell ref="A231:I231"/>
    <mergeCell ref="A288:I288"/>
    <mergeCell ref="A36:I36"/>
    <mergeCell ref="A379:I379"/>
    <mergeCell ref="A73:I73"/>
    <mergeCell ref="A351:I351"/>
    <mergeCell ref="A161:I161"/>
    <mergeCell ref="A100:I100"/>
    <mergeCell ref="A127:I127"/>
    <mergeCell ref="A259:I259"/>
    <mergeCell ref="A192:I192"/>
    <mergeCell ref="A464:I464"/>
    <mergeCell ref="A319:I319"/>
    <mergeCell ref="A496:I496"/>
    <mergeCell ref="A525:I525"/>
    <mergeCell ref="A436:I436"/>
    <mergeCell ref="A406:I406"/>
  </mergeCells>
  <phoneticPr fontId="0" type="noConversion"/>
  <conditionalFormatting sqref="B556:B1048576">
    <cfRule type="duplicateValues" dxfId="81" priority="15945"/>
  </conditionalFormatting>
  <conditionalFormatting sqref="B556:B1048576 B496 B379 B351:B352 B288 B1:B2 B36 B436 B525 B259 B406 B231:B234 B73:B77 B100:B104 B273:B280 B362:B371 B460:B464 B530:B548 B305:B333 B127:B162 B185:B209">
    <cfRule type="duplicateValues" dxfId="80" priority="39503"/>
  </conditionalFormatting>
  <conditionalFormatting sqref="B556:B1048576 B496 B379 B351:B352 B1:B2 B288 B436 B36 B525 B259 B406 B231:B234 B73:B77 B100:B104 B273:B280 B362:B371 B440:B449 B460:B464 B530:B548 B305:B333 B127:B162 B185:B209">
    <cfRule type="duplicateValues" dxfId="79" priority="39765"/>
  </conditionalFormatting>
  <conditionalFormatting sqref="B65:B72">
    <cfRule type="duplicateValues" dxfId="78" priority="1300"/>
  </conditionalFormatting>
  <conditionalFormatting sqref="B289:B293">
    <cfRule type="duplicateValues" dxfId="77" priority="1154"/>
  </conditionalFormatting>
  <conditionalFormatting sqref="B289:B293">
    <cfRule type="duplicateValues" dxfId="76" priority="1155"/>
  </conditionalFormatting>
  <conditionalFormatting sqref="B289:B293">
    <cfRule type="duplicateValues" dxfId="75" priority="1156"/>
  </conditionalFormatting>
  <conditionalFormatting sqref="B289:B293">
    <cfRule type="duplicateValues" dxfId="74" priority="1157"/>
  </conditionalFormatting>
  <conditionalFormatting sqref="B289:B293">
    <cfRule type="duplicateValues" dxfId="73" priority="1158"/>
  </conditionalFormatting>
  <conditionalFormatting sqref="B289:B293">
    <cfRule type="duplicateValues" dxfId="72" priority="1159"/>
  </conditionalFormatting>
  <conditionalFormatting sqref="B289:B293">
    <cfRule type="duplicateValues" dxfId="71" priority="1160"/>
  </conditionalFormatting>
  <conditionalFormatting sqref="B289:B293">
    <cfRule type="duplicateValues" dxfId="70" priority="1161"/>
  </conditionalFormatting>
  <conditionalFormatting sqref="B289:B293">
    <cfRule type="duplicateValues" dxfId="69" priority="1162"/>
  </conditionalFormatting>
  <conditionalFormatting sqref="B407:B410">
    <cfRule type="duplicateValues" dxfId="68" priority="860"/>
  </conditionalFormatting>
  <conditionalFormatting sqref="B407:B410">
    <cfRule type="duplicateValues" dxfId="67" priority="861"/>
  </conditionalFormatting>
  <conditionalFormatting sqref="B407:B410">
    <cfRule type="duplicateValues" dxfId="66" priority="862"/>
  </conditionalFormatting>
  <conditionalFormatting sqref="B407:B410">
    <cfRule type="duplicateValues" dxfId="65" priority="863"/>
  </conditionalFormatting>
  <conditionalFormatting sqref="B407:B410">
    <cfRule type="duplicateValues" dxfId="64" priority="864"/>
  </conditionalFormatting>
  <conditionalFormatting sqref="B407:B410">
    <cfRule type="duplicateValues" dxfId="63" priority="865"/>
  </conditionalFormatting>
  <conditionalFormatting sqref="B407:B410">
    <cfRule type="duplicateValues" dxfId="62" priority="866"/>
  </conditionalFormatting>
  <conditionalFormatting sqref="B407:B410">
    <cfRule type="duplicateValues" dxfId="61" priority="867"/>
  </conditionalFormatting>
  <conditionalFormatting sqref="B465:B468">
    <cfRule type="duplicateValues" dxfId="60" priority="44394"/>
  </conditionalFormatting>
  <conditionalFormatting sqref="B260:B262">
    <cfRule type="duplicateValues" dxfId="59" priority="83125"/>
  </conditionalFormatting>
  <conditionalFormatting sqref="B3:B7">
    <cfRule type="duplicateValues" dxfId="58" priority="111389"/>
  </conditionalFormatting>
  <conditionalFormatting sqref="B37:B40">
    <cfRule type="duplicateValues" dxfId="57" priority="112863"/>
  </conditionalFormatting>
  <conditionalFormatting sqref="B41:B53">
    <cfRule type="duplicateValues" dxfId="56" priority="113332"/>
  </conditionalFormatting>
  <conditionalFormatting sqref="B74:B77">
    <cfRule type="duplicateValues" dxfId="55" priority="114682"/>
  </conditionalFormatting>
  <conditionalFormatting sqref="B78:B86">
    <cfRule type="duplicateValues" dxfId="54" priority="114829"/>
  </conditionalFormatting>
  <conditionalFormatting sqref="B143:B155">
    <cfRule type="duplicateValues" dxfId="53" priority="116680"/>
  </conditionalFormatting>
  <conditionalFormatting sqref="B165:B175">
    <cfRule type="duplicateValues" dxfId="52" priority="117029"/>
  </conditionalFormatting>
  <conditionalFormatting sqref="B176:B184">
    <cfRule type="duplicateValues" dxfId="51" priority="117636"/>
  </conditionalFormatting>
  <conditionalFormatting sqref="B254:B258">
    <cfRule type="duplicateValues" dxfId="50" priority="119642"/>
  </conditionalFormatting>
  <conditionalFormatting sqref="B525:B1048576 B259:B394 B1:B175 B185:B253 B401:B518">
    <cfRule type="duplicateValues" dxfId="49" priority="120823"/>
  </conditionalFormatting>
  <conditionalFormatting sqref="B1:B1048576">
    <cfRule type="duplicateValues" dxfId="48" priority="120835"/>
  </conditionalFormatting>
  <conditionalFormatting sqref="B294:B304">
    <cfRule type="duplicateValues" dxfId="47" priority="121650"/>
  </conditionalFormatting>
  <conditionalFormatting sqref="B343:B350">
    <cfRule type="duplicateValues" dxfId="46" priority="122806"/>
  </conditionalFormatting>
  <conditionalFormatting sqref="B525:B1048576 B1:B518">
    <cfRule type="duplicateValues" dxfId="45" priority="122999"/>
  </conditionalFormatting>
  <conditionalFormatting sqref="B353:B354">
    <cfRule type="duplicateValues" dxfId="44" priority="123131"/>
  </conditionalFormatting>
  <conditionalFormatting sqref="B380:B383">
    <cfRule type="duplicateValues" dxfId="43" priority="123638"/>
  </conditionalFormatting>
  <conditionalFormatting sqref="B384:B394">
    <cfRule type="duplicateValues" dxfId="42" priority="123771"/>
  </conditionalFormatting>
  <conditionalFormatting sqref="B437:B439">
    <cfRule type="duplicateValues" dxfId="41" priority="124436"/>
  </conditionalFormatting>
  <conditionalFormatting sqref="B497:B500">
    <cfRule type="duplicateValues" dxfId="40" priority="81"/>
  </conditionalFormatting>
  <conditionalFormatting sqref="B501:B508">
    <cfRule type="duplicateValues" dxfId="39" priority="125498"/>
  </conditionalFormatting>
  <conditionalFormatting sqref="B519:B524">
    <cfRule type="duplicateValues" dxfId="38" priority="125674"/>
  </conditionalFormatting>
  <conditionalFormatting sqref="B526:B529">
    <cfRule type="duplicateValues" dxfId="37" priority="79"/>
  </conditionalFormatting>
  <conditionalFormatting sqref="B431:B435">
    <cfRule type="duplicateValues" dxfId="36" priority="126722"/>
  </conditionalFormatting>
  <conditionalFormatting sqref="B263:B272">
    <cfRule type="duplicateValues" dxfId="35" priority="127068"/>
  </conditionalFormatting>
  <conditionalFormatting sqref="B163:B164">
    <cfRule type="duplicateValues" dxfId="34" priority="127582"/>
  </conditionalFormatting>
  <conditionalFormatting sqref="B281:B287">
    <cfRule type="duplicateValues" dxfId="33" priority="130062"/>
  </conditionalFormatting>
  <conditionalFormatting sqref="B478:B490">
    <cfRule type="duplicateValues" dxfId="32" priority="130576"/>
  </conditionalFormatting>
  <conditionalFormatting sqref="B450:B459">
    <cfRule type="duplicateValues" dxfId="31" priority="131270"/>
  </conditionalFormatting>
  <conditionalFormatting sqref="B8:B19">
    <cfRule type="duplicateValues" dxfId="30" priority="131448"/>
  </conditionalFormatting>
  <conditionalFormatting sqref="B105:B114">
    <cfRule type="duplicateValues" dxfId="29" priority="131626"/>
  </conditionalFormatting>
  <conditionalFormatting sqref="B20:B28">
    <cfRule type="duplicateValues" dxfId="28" priority="132140"/>
  </conditionalFormatting>
  <conditionalFormatting sqref="B29:B35">
    <cfRule type="duplicateValues" dxfId="27" priority="132318"/>
  </conditionalFormatting>
  <conditionalFormatting sqref="B556:B1048576 B496 B379 B351:B352 B1:B2 B288 B436 B36 B525 B259 B406 B231:B234 B73:B77 B100:B104 B273:B280 B362:B371 B440:B449 B460:B464 B530:B548 B305:B333 B127:B162 B185:B222">
    <cfRule type="duplicateValues" dxfId="26" priority="133133"/>
  </conditionalFormatting>
  <conditionalFormatting sqref="B556:B1048576 B496 B379 B351:B352 B1:B2 B436 B288 B525 B259 B36 B406 B231:B234 B73:B77 B100:B104 B273:B280 B362:B371 B440:B449 B460:B464 B530:B548 B305:B333 B127:B162 B185:B222">
    <cfRule type="duplicateValues" dxfId="25" priority="133156"/>
  </conditionalFormatting>
  <conditionalFormatting sqref="B243:B253">
    <cfRule type="duplicateValues" dxfId="24" priority="133640"/>
  </conditionalFormatting>
  <conditionalFormatting sqref="B372:B378">
    <cfRule type="duplicateValues" dxfId="23" priority="133766"/>
  </conditionalFormatting>
  <conditionalFormatting sqref="B401:B405">
    <cfRule type="duplicateValues" dxfId="22" priority="134205"/>
  </conditionalFormatting>
  <conditionalFormatting sqref="B411:B422">
    <cfRule type="duplicateValues" dxfId="21" priority="134341"/>
  </conditionalFormatting>
  <conditionalFormatting sqref="B469:B477">
    <cfRule type="duplicateValues" dxfId="20" priority="134477"/>
  </conditionalFormatting>
  <conditionalFormatting sqref="B509:B518">
    <cfRule type="duplicateValues" dxfId="19" priority="134749"/>
  </conditionalFormatting>
  <conditionalFormatting sqref="B54:B64">
    <cfRule type="duplicateValues" dxfId="18" priority="135029"/>
  </conditionalFormatting>
  <conditionalFormatting sqref="B223:B230">
    <cfRule type="duplicateValues" dxfId="17" priority="135343"/>
  </conditionalFormatting>
  <conditionalFormatting sqref="B491:B495">
    <cfRule type="duplicateValues" dxfId="16" priority="135792"/>
  </conditionalFormatting>
  <conditionalFormatting sqref="B549:B555">
    <cfRule type="duplicateValues" dxfId="15" priority="135974"/>
  </conditionalFormatting>
  <conditionalFormatting sqref="B87:B95">
    <cfRule type="duplicateValues" dxfId="14" priority="136152"/>
  </conditionalFormatting>
  <conditionalFormatting sqref="B96:B99">
    <cfRule type="duplicateValues" dxfId="13" priority="136604"/>
  </conditionalFormatting>
  <conditionalFormatting sqref="B122:B126">
    <cfRule type="duplicateValues" dxfId="12" priority="136740"/>
  </conditionalFormatting>
  <conditionalFormatting sqref="B210:B222">
    <cfRule type="duplicateValues" dxfId="11" priority="137415"/>
  </conditionalFormatting>
  <conditionalFormatting sqref="B115:B121">
    <cfRule type="duplicateValues" dxfId="10" priority="137593"/>
  </conditionalFormatting>
  <conditionalFormatting sqref="B556:B1048576 B496 B379 B351:B352 B259 B1:B2 B525 B36 B288 B436 B406 B231:B234 B73:B77 B100:B104 B273:B280 B362:B371 B156:B162 B460:B464 B530:B548 B127:B142 B305:B333 B185:B209">
    <cfRule type="duplicateValues" dxfId="9" priority="137594"/>
  </conditionalFormatting>
  <conditionalFormatting sqref="B556:B1048576 B496 B379 B351:B352 B288 B1:B2 B36 B436 B525 B259 B406 B231:B234 B73:B77 B100:B104 B273:B280 B362:B371 B156:B162 B460:B464 B530:B548 B127:B142 B305:B333 B185:B209">
    <cfRule type="duplicateValues" dxfId="8" priority="137617"/>
  </conditionalFormatting>
  <conditionalFormatting sqref="B556:B1048576 B496 B379 B351:B352 B259 B525 B1:B2 B36 B288 B436 B406 B231:B234 B73:B77 B100:B104 B273:B280 B362:B371 B156:B162 B460:B464 B530:B548 B127:B142 B305:B333 B185:B209">
    <cfRule type="duplicateValues" dxfId="7" priority="137640"/>
  </conditionalFormatting>
  <conditionalFormatting sqref="B556:B1048576 B496 B379 B351:B352 B288 B259 B525 B1:B2 B36 B436 B406 B231:B234 B73:B77 B100:B104 B273:B280 B362:B371 B156:B162 B460:B464 B530:B548 B127:B142 B305:B333 B185:B209">
    <cfRule type="duplicateValues" dxfId="6" priority="137663"/>
  </conditionalFormatting>
  <conditionalFormatting sqref="B334:B342">
    <cfRule type="duplicateValues" dxfId="5" priority="137757"/>
  </conditionalFormatting>
  <conditionalFormatting sqref="B395:B400">
    <cfRule type="duplicateValues" dxfId="4" priority="137850"/>
  </conditionalFormatting>
  <conditionalFormatting sqref="B423:B430">
    <cfRule type="duplicateValues" dxfId="3" priority="137902"/>
  </conditionalFormatting>
  <conditionalFormatting sqref="B235:B242">
    <cfRule type="duplicateValues" dxfId="2" priority="138041"/>
  </conditionalFormatting>
  <conditionalFormatting sqref="B355:B361">
    <cfRule type="duplicateValues" dxfId="1" priority="138135"/>
  </conditionalFormatting>
  <conditionalFormatting sqref="B440:B449">
    <cfRule type="duplicateValues" dxfId="0" priority="138316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35" min="1" max="8" man="1"/>
    <brk id="1" min="1" max="8" man="1"/>
    <brk id="160" min="1" max="8" man="1"/>
    <brk id="72" min="1" max="8" man="1"/>
    <brk id="405" min="1" max="8" man="1"/>
    <brk id="318" min="1" max="8" man="1"/>
    <brk id="495" min="1" max="8" man="1"/>
    <brk id="19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54"/>
  <sheetViews>
    <sheetView showGridLines="0" tabSelected="1" zoomScaleNormal="100" workbookViewId="0">
      <pane xSplit="23" ySplit="14" topLeftCell="X15" activePane="bottomRight" state="frozen"/>
      <selection activeCell="M39" sqref="M39"/>
      <selection pane="topRight" activeCell="M39" sqref="M39"/>
      <selection pane="bottomLeft" activeCell="M39" sqref="M39"/>
      <selection pane="bottomRight" activeCell="D15" sqref="D15:W15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'[1]20. Spieltag'!A5</f>
        <v>Heidenheim</v>
      </c>
      <c r="E1" s="131" t="str">
        <f>'[1]20. Spieltag'!B5</f>
        <v>Dortmund</v>
      </c>
      <c r="F1" s="131"/>
      <c r="G1" s="131"/>
      <c r="H1" s="131"/>
      <c r="I1" s="132">
        <v>0</v>
      </c>
      <c r="J1" s="133">
        <v>0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'[1]20. Spieltag'!A6</f>
        <v>Leipzig</v>
      </c>
      <c r="E2" s="137" t="str">
        <f>'[1]20. Spieltag'!B6</f>
        <v>Union Berlin</v>
      </c>
      <c r="F2" s="137"/>
      <c r="G2" s="137"/>
      <c r="H2" s="137"/>
      <c r="I2" s="138">
        <v>2</v>
      </c>
      <c r="J2" s="139">
        <v>0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'[1]20. Spieltag'!A7</f>
        <v>Darmstadt</v>
      </c>
      <c r="E3" s="137" t="str">
        <f>'[1]20. Spieltag'!B7</f>
        <v>Leverkusen</v>
      </c>
      <c r="F3" s="137"/>
      <c r="G3" s="137"/>
      <c r="H3" s="137"/>
      <c r="I3" s="138">
        <v>0</v>
      </c>
      <c r="J3" s="139">
        <v>2</v>
      </c>
      <c r="K3" s="128"/>
      <c r="L3" s="221" t="s">
        <v>9</v>
      </c>
      <c r="M3" s="222"/>
      <c r="N3" s="222"/>
      <c r="O3" s="222"/>
      <c r="P3" s="213">
        <f>Ergebniseingabe!B12</f>
        <v>3</v>
      </c>
      <c r="Q3" s="214">
        <f>Ergebniseingabe!B13</f>
        <v>1</v>
      </c>
      <c r="R3" s="221" t="s">
        <v>70</v>
      </c>
      <c r="S3" s="222"/>
      <c r="T3" s="222"/>
      <c r="U3" s="222"/>
      <c r="V3" s="215">
        <f>Ergebniseingabe!B30</f>
        <v>2</v>
      </c>
      <c r="W3" s="214">
        <f>Ergebniseingabe!B31</f>
        <v>2</v>
      </c>
    </row>
    <row r="4" spans="1:23" ht="13.5" x14ac:dyDescent="0.2">
      <c r="D4" s="136" t="str">
        <f>'[1]20. Spieltag'!A8</f>
        <v>Köln</v>
      </c>
      <c r="E4" s="137" t="str">
        <f>'[1]20. Spieltag'!B8</f>
        <v>Frankfurt</v>
      </c>
      <c r="F4" s="137"/>
      <c r="G4" s="137"/>
      <c r="H4" s="137"/>
      <c r="I4" s="138">
        <v>2</v>
      </c>
      <c r="J4" s="139">
        <v>0</v>
      </c>
      <c r="K4" s="128"/>
      <c r="L4" s="221" t="s">
        <v>323</v>
      </c>
      <c r="M4" s="222"/>
      <c r="N4" s="222"/>
      <c r="O4" s="222"/>
      <c r="P4" s="213">
        <f>Ergebniseingabe!B14</f>
        <v>1</v>
      </c>
      <c r="Q4" s="214">
        <f>Ergebniseingabe!B15</f>
        <v>0</v>
      </c>
      <c r="R4" s="221" t="s">
        <v>177</v>
      </c>
      <c r="S4" s="222"/>
      <c r="T4" s="222"/>
      <c r="U4" s="222"/>
      <c r="V4" s="215">
        <f>Ergebniseingabe!B32</f>
        <v>0</v>
      </c>
      <c r="W4" s="214">
        <f>Ergebniseingabe!B33</f>
        <v>2</v>
      </c>
    </row>
    <row r="5" spans="1:23" ht="13.5" x14ac:dyDescent="0.2">
      <c r="D5" s="136" t="str">
        <f>'[1]20. Spieltag'!A9</f>
        <v>München</v>
      </c>
      <c r="E5" s="137" t="str">
        <f>'[1]20. Spieltag'!B9</f>
        <v>M'gladbach</v>
      </c>
      <c r="F5" s="137"/>
      <c r="G5" s="137"/>
      <c r="H5" s="137"/>
      <c r="I5" s="138">
        <v>3</v>
      </c>
      <c r="J5" s="139">
        <v>1</v>
      </c>
      <c r="K5" s="128"/>
      <c r="L5" s="221" t="s">
        <v>32</v>
      </c>
      <c r="M5" s="222"/>
      <c r="N5" s="222"/>
      <c r="O5" s="222"/>
      <c r="P5" s="213">
        <f>Ergebniseingabe!B16</f>
        <v>0</v>
      </c>
      <c r="Q5" s="214">
        <f>Ergebniseingabe!B17</f>
        <v>0</v>
      </c>
      <c r="R5" s="221" t="s">
        <v>181</v>
      </c>
      <c r="S5" s="222"/>
      <c r="T5" s="222"/>
      <c r="U5" s="222"/>
      <c r="V5" s="215">
        <f>Ergebniseingabe!B34</f>
        <v>2</v>
      </c>
      <c r="W5" s="214">
        <f>Ergebniseingabe!B35</f>
        <v>0</v>
      </c>
    </row>
    <row r="6" spans="1:23" ht="13.5" x14ac:dyDescent="0.2">
      <c r="D6" s="136" t="str">
        <f>'[1]20. Spieltag'!A10</f>
        <v>Wolfsburg</v>
      </c>
      <c r="E6" s="137" t="str">
        <f>'[1]20. Spieltag'!B10</f>
        <v>Hoffenheim</v>
      </c>
      <c r="F6" s="137"/>
      <c r="G6" s="137"/>
      <c r="H6" s="137"/>
      <c r="I6" s="138">
        <v>2</v>
      </c>
      <c r="J6" s="139">
        <v>2</v>
      </c>
      <c r="K6" s="128"/>
      <c r="L6" s="221" t="s">
        <v>30</v>
      </c>
      <c r="M6" s="222"/>
      <c r="N6" s="222"/>
      <c r="O6" s="222"/>
      <c r="P6" s="213">
        <f>Ergebniseingabe!B18</f>
        <v>2</v>
      </c>
      <c r="Q6" s="214">
        <f>Ergebniseingabe!B19</f>
        <v>0</v>
      </c>
      <c r="R6" s="221" t="s">
        <v>408</v>
      </c>
      <c r="S6" s="222"/>
      <c r="T6" s="222"/>
      <c r="U6" s="222"/>
      <c r="V6" s="215">
        <f>Ergebniseingabe!B36</f>
        <v>0</v>
      </c>
      <c r="W6" s="214">
        <f>Ergebniseingabe!B37</f>
        <v>0</v>
      </c>
    </row>
    <row r="7" spans="1:23" ht="13.5" x14ac:dyDescent="0.2">
      <c r="D7" s="136" t="str">
        <f>'[1]20. Spieltag'!A11</f>
        <v>Mainz</v>
      </c>
      <c r="E7" s="137" t="str">
        <f>'[1]20. Spieltag'!B11</f>
        <v>Bremen</v>
      </c>
      <c r="F7" s="137"/>
      <c r="G7" s="137"/>
      <c r="H7" s="137"/>
      <c r="I7" s="138">
        <v>0</v>
      </c>
      <c r="J7" s="139">
        <v>1</v>
      </c>
      <c r="K7" s="128"/>
      <c r="L7" s="221" t="s">
        <v>409</v>
      </c>
      <c r="M7" s="222"/>
      <c r="N7" s="222"/>
      <c r="O7" s="222"/>
      <c r="P7" s="213">
        <f>Ergebniseingabe!B20</f>
        <v>0</v>
      </c>
      <c r="Q7" s="214">
        <f>Ergebniseingabe!B21</f>
        <v>2</v>
      </c>
      <c r="R7" s="221" t="s">
        <v>96</v>
      </c>
      <c r="S7" s="222"/>
      <c r="T7" s="222"/>
      <c r="U7" s="222"/>
      <c r="V7" s="215">
        <f>Ergebniseingabe!B38</f>
        <v>1</v>
      </c>
      <c r="W7" s="214">
        <f>Ergebniseingabe!B39</f>
        <v>1</v>
      </c>
    </row>
    <row r="8" spans="1:23" ht="13.5" x14ac:dyDescent="0.2">
      <c r="D8" s="136" t="str">
        <f>'[1]20. Spieltag'!A12</f>
        <v>Bochum</v>
      </c>
      <c r="E8" s="137" t="str">
        <f>'[1]20. Spieltag'!B12</f>
        <v>Augsburg</v>
      </c>
      <c r="F8" s="137"/>
      <c r="G8" s="137"/>
      <c r="H8" s="137"/>
      <c r="I8" s="138">
        <v>1</v>
      </c>
      <c r="J8" s="139">
        <v>1</v>
      </c>
      <c r="K8" s="128"/>
      <c r="L8" s="221" t="s">
        <v>128</v>
      </c>
      <c r="M8" s="222"/>
      <c r="N8" s="222"/>
      <c r="O8" s="222"/>
      <c r="P8" s="213">
        <f>Ergebniseingabe!B22</f>
        <v>2</v>
      </c>
      <c r="Q8" s="214">
        <f>Ergebniseingabe!B23</f>
        <v>0</v>
      </c>
      <c r="R8" s="221" t="s">
        <v>129</v>
      </c>
      <c r="S8" s="222"/>
      <c r="T8" s="222"/>
      <c r="U8" s="222"/>
      <c r="V8" s="215">
        <f>Ergebniseingabe!B40</f>
        <v>1</v>
      </c>
      <c r="W8" s="214">
        <f>Ergebniseingabe!B41</f>
        <v>3</v>
      </c>
    </row>
    <row r="9" spans="1:23" ht="14.25" thickBot="1" x14ac:dyDescent="0.25">
      <c r="D9" s="140" t="str">
        <f>'[1]20. Spieltag'!A13</f>
        <v>Freiburg</v>
      </c>
      <c r="E9" s="141" t="str">
        <f>'[1]20. Spieltag'!B13</f>
        <v>Stuttgart</v>
      </c>
      <c r="F9" s="141"/>
      <c r="G9" s="141"/>
      <c r="H9" s="141"/>
      <c r="I9" s="170">
        <v>1</v>
      </c>
      <c r="J9" s="171">
        <v>3</v>
      </c>
      <c r="K9" s="128"/>
      <c r="L9" s="221" t="s">
        <v>261</v>
      </c>
      <c r="M9" s="222"/>
      <c r="N9" s="222"/>
      <c r="O9" s="222"/>
      <c r="P9" s="213">
        <f>Ergebniseingabe!B24</f>
        <v>1</v>
      </c>
      <c r="Q9" s="214">
        <f>Ergebniseingabe!B25</f>
        <v>1</v>
      </c>
      <c r="R9" s="221" t="s">
        <v>106</v>
      </c>
      <c r="S9" s="222"/>
      <c r="T9" s="222"/>
      <c r="U9" s="222"/>
      <c r="V9" s="215">
        <f>Ergebniseingabe!B42</f>
        <v>0</v>
      </c>
      <c r="W9" s="214">
        <f>Ergebniseingabe!B43</f>
        <v>2</v>
      </c>
    </row>
    <row r="10" spans="1:23" ht="13.5" customHeight="1" thickBot="1" x14ac:dyDescent="0.25">
      <c r="D10" s="53"/>
      <c r="G10" s="20"/>
      <c r="H10" s="11"/>
      <c r="I10" s="225">
        <f>SUM(I1:J9)</f>
        <v>21</v>
      </c>
      <c r="J10" s="225"/>
      <c r="K10" s="128"/>
      <c r="L10" s="221" t="s">
        <v>226</v>
      </c>
      <c r="M10" s="222"/>
      <c r="N10" s="222"/>
      <c r="O10" s="222"/>
      <c r="P10" s="213">
        <f>Ergebniseingabe!B26</f>
        <v>3</v>
      </c>
      <c r="Q10" s="214">
        <f>Ergebniseingabe!B27</f>
        <v>1</v>
      </c>
      <c r="R10" s="221" t="s">
        <v>120</v>
      </c>
      <c r="S10" s="222"/>
      <c r="T10" s="222"/>
      <c r="U10" s="222"/>
      <c r="V10" s="215">
        <f>Ergebniseingabe!B44</f>
        <v>0</v>
      </c>
      <c r="W10" s="214">
        <f>Ergebniseingabe!B45</f>
        <v>1</v>
      </c>
    </row>
    <row r="11" spans="1:23" ht="10.5" customHeight="1" thickTop="1" thickBot="1" x14ac:dyDescent="0.25">
      <c r="D11" s="53"/>
      <c r="H11" s="11"/>
      <c r="I11" s="54"/>
      <c r="K11" s="128"/>
      <c r="L11" s="221" t="s">
        <v>31</v>
      </c>
      <c r="M11" s="222"/>
      <c r="N11" s="222"/>
      <c r="O11" s="222"/>
      <c r="P11" s="213">
        <f>Ergebniseingabe!B28</f>
        <v>2</v>
      </c>
      <c r="Q11" s="214">
        <f>Ergebniseingabe!B29</f>
        <v>2</v>
      </c>
      <c r="R11" s="221" t="s">
        <v>69</v>
      </c>
      <c r="S11" s="222"/>
      <c r="T11" s="222"/>
      <c r="U11" s="222"/>
      <c r="V11" s="215">
        <f>Ergebniseingabe!B46</f>
        <v>1</v>
      </c>
      <c r="W11" s="214">
        <f>Ergebniseingabe!B47</f>
        <v>3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6" t="s">
        <v>15</v>
      </c>
      <c r="H12" s="227"/>
      <c r="I12" s="226" t="s">
        <v>21</v>
      </c>
      <c r="J12" s="227"/>
      <c r="K12" s="230" t="s">
        <v>33</v>
      </c>
      <c r="L12" s="231"/>
      <c r="M12" s="226" t="s">
        <v>23</v>
      </c>
      <c r="N12" s="227"/>
      <c r="O12" s="58" t="s">
        <v>4</v>
      </c>
      <c r="P12" s="58" t="s">
        <v>16</v>
      </c>
      <c r="Q12" s="58" t="s">
        <v>24</v>
      </c>
      <c r="R12" s="226" t="s">
        <v>28</v>
      </c>
      <c r="S12" s="227"/>
      <c r="T12" s="226" t="s">
        <v>26</v>
      </c>
      <c r="U12" s="227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3" t="s">
        <v>22</v>
      </c>
      <c r="J13" s="224"/>
      <c r="K13" s="232"/>
      <c r="L13" s="233"/>
      <c r="M13" s="223" t="s">
        <v>22</v>
      </c>
      <c r="N13" s="224"/>
      <c r="O13" s="63" t="s">
        <v>5</v>
      </c>
      <c r="P13" s="63" t="s">
        <v>6</v>
      </c>
      <c r="Q13" s="63" t="s">
        <v>25</v>
      </c>
      <c r="R13" s="223" t="s">
        <v>29</v>
      </c>
      <c r="S13" s="224"/>
      <c r="T13" s="223" t="s">
        <v>27</v>
      </c>
      <c r="U13" s="224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B15+B49+B86+B301+B174+B364+B244+B140+B205+B538+B113+B392+B272+B332+B449+B419+B509+B477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SUM(B16:B48)</f>
        <v>18</v>
      </c>
      <c r="C15" s="161"/>
      <c r="D15" s="228" t="s">
        <v>9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9"/>
    </row>
    <row r="16" spans="1:23" ht="10.5" customHeight="1" x14ac:dyDescent="0.2">
      <c r="A16" s="11"/>
      <c r="B16" s="162">
        <f>COUNTA(Spieltag!K3:AA3)</f>
        <v>3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 t="s">
        <v>675</v>
      </c>
      <c r="H16" s="154">
        <f t="shared" ref="H16:H22" si="0">IF(G16="x",10,0)</f>
        <v>10</v>
      </c>
      <c r="I16" s="153"/>
      <c r="J16" s="154">
        <f t="shared" ref="J16:J22" si="1">IF((I16="x"),-10,0)</f>
        <v>0</v>
      </c>
      <c r="K16" s="153"/>
      <c r="L16" s="154">
        <f t="shared" ref="L16:L22" si="2">IF((K16="x"),-20,0)</f>
        <v>0</v>
      </c>
      <c r="M16" s="153"/>
      <c r="N16" s="154">
        <f t="shared" ref="N16:N22" si="3">IF((M16="x"),-30,0)</f>
        <v>0</v>
      </c>
      <c r="O16" s="155">
        <f t="shared" ref="O16:O48" si="4">IF(AND($P$3&gt;$Q$3),20,IF($P$3=$Q$3,10,0))</f>
        <v>20</v>
      </c>
      <c r="P16" s="155">
        <f t="shared" ref="P16:P48" si="5">IF(($P$3&lt;&gt;0),$P$3*10,-5)</f>
        <v>30</v>
      </c>
      <c r="Q16" s="155">
        <f>IF(($Q$3&lt;&gt;0),$Q$3*-10,20)</f>
        <v>-10</v>
      </c>
      <c r="R16" s="153"/>
      <c r="S16" s="154">
        <f>R16*20</f>
        <v>0</v>
      </c>
      <c r="T16" s="153"/>
      <c r="U16" s="154">
        <f t="shared" ref="U16:U22" si="6">T16*-15</f>
        <v>0</v>
      </c>
      <c r="V16" s="155">
        <f t="shared" ref="V16:V22" si="7">IF(AND(R16=2),10,IF(R16=3,30,IF(R16=4,50,IF(R16=5,70,0))))</f>
        <v>0</v>
      </c>
      <c r="W16" s="156">
        <f t="shared" ref="W16:W22" si="8">IF(G16="x",H16+J16+L16+N16+O16+P16+Q16+S16+U16+V16,0)</f>
        <v>50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20</v>
      </c>
      <c r="P17" s="16">
        <f t="shared" si="5"/>
        <v>30</v>
      </c>
      <c r="Q17" s="16">
        <f>IF(($Q$3&lt;&gt;0),$Q$3*-10,20)</f>
        <v>-10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:H19" si="9">IF(G18="x",10,0)</f>
        <v>0</v>
      </c>
      <c r="I18" s="14"/>
      <c r="J18" s="15">
        <f t="shared" ref="J18:J19" si="10">IF((I18="x"),-10,0)</f>
        <v>0</v>
      </c>
      <c r="K18" s="14"/>
      <c r="L18" s="15">
        <f t="shared" ref="L18:L19" si="11">IF((K18="x"),-20,0)</f>
        <v>0</v>
      </c>
      <c r="M18" s="14"/>
      <c r="N18" s="15">
        <f t="shared" ref="N18:N19" si="12">IF((M18="x"),-30,0)</f>
        <v>0</v>
      </c>
      <c r="O18" s="16">
        <f t="shared" si="4"/>
        <v>20</v>
      </c>
      <c r="P18" s="16">
        <f t="shared" si="5"/>
        <v>30</v>
      </c>
      <c r="Q18" s="16">
        <f>IF(($Q$3&lt;&gt;0),$Q$3*-10,20)</f>
        <v>-10</v>
      </c>
      <c r="R18" s="14"/>
      <c r="S18" s="15">
        <f>R18*20</f>
        <v>0</v>
      </c>
      <c r="T18" s="14"/>
      <c r="U18" s="15">
        <f t="shared" ref="U18:U19" si="13">T18*-15</f>
        <v>0</v>
      </c>
      <c r="V18" s="16">
        <f t="shared" ref="V18:V19" si="14">IF(AND(R18=2),10,IF(R18=3,30,IF(R18=4,50,IF(R18=5,70,0))))</f>
        <v>0</v>
      </c>
      <c r="W18" s="17">
        <f t="shared" ref="W18:W19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Ritzy Hülsmann</v>
      </c>
      <c r="E19" s="12" t="str">
        <f>Spieltag!C6</f>
        <v>Torwart</v>
      </c>
      <c r="F19" s="13" t="s">
        <v>54</v>
      </c>
      <c r="G19" s="14"/>
      <c r="H19" s="15">
        <f t="shared" si="9"/>
        <v>0</v>
      </c>
      <c r="I19" s="14"/>
      <c r="J19" s="15">
        <f t="shared" si="10"/>
        <v>0</v>
      </c>
      <c r="K19" s="14"/>
      <c r="L19" s="15">
        <f t="shared" si="11"/>
        <v>0</v>
      </c>
      <c r="M19" s="14"/>
      <c r="N19" s="15">
        <f t="shared" si="12"/>
        <v>0</v>
      </c>
      <c r="O19" s="16">
        <f t="shared" si="4"/>
        <v>20</v>
      </c>
      <c r="P19" s="16">
        <f t="shared" si="5"/>
        <v>30</v>
      </c>
      <c r="Q19" s="16">
        <f>IF(($Q$3&lt;&gt;0),$Q$3*-10,20)</f>
        <v>-10</v>
      </c>
      <c r="R19" s="14"/>
      <c r="S19" s="15">
        <f>R19*20</f>
        <v>0</v>
      </c>
      <c r="T19" s="14"/>
      <c r="U19" s="15">
        <f t="shared" si="13"/>
        <v>0</v>
      </c>
      <c r="V19" s="16">
        <f t="shared" si="14"/>
        <v>0</v>
      </c>
      <c r="W19" s="17">
        <f t="shared" si="15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48</v>
      </c>
      <c r="D20" s="21" t="str">
        <f>Spieltag!B7</f>
        <v>Max Schmitt</v>
      </c>
      <c r="E20" s="12" t="str">
        <f>Spieltag!C7</f>
        <v>Torwart</v>
      </c>
      <c r="F20" s="13" t="s">
        <v>54</v>
      </c>
      <c r="G20" s="14"/>
      <c r="H20" s="15">
        <f t="shared" si="0"/>
        <v>0</v>
      </c>
      <c r="I20" s="14"/>
      <c r="J20" s="15">
        <f t="shared" si="1"/>
        <v>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20</v>
      </c>
      <c r="P20" s="16">
        <f t="shared" si="5"/>
        <v>30</v>
      </c>
      <c r="Q20" s="16">
        <f>IF(($Q$3&lt;&gt;0),$Q$3*-10,20)</f>
        <v>-10</v>
      </c>
      <c r="R20" s="14"/>
      <c r="S20" s="15">
        <f>R20*20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0</v>
      </c>
    </row>
    <row r="21" spans="1:23" ht="10.5" hidden="1" customHeight="1" x14ac:dyDescent="0.2">
      <c r="A21" s="11"/>
      <c r="B21" s="163">
        <f>COUNTA(Spieltag!K8:AA8)</f>
        <v>0</v>
      </c>
      <c r="C21" s="166">
        <f>Spieltag!A8</f>
        <v>2</v>
      </c>
      <c r="D21" s="21" t="str">
        <f>Spieltag!B8</f>
        <v>Dayot Upamecano (A)</v>
      </c>
      <c r="E21" s="12" t="str">
        <f>Spieltag!C8</f>
        <v>Abwehr</v>
      </c>
      <c r="F21" s="13" t="s">
        <v>54</v>
      </c>
      <c r="G21" s="14"/>
      <c r="H21" s="15">
        <f t="shared" ref="H21" si="16">IF(G21="x",10,0)</f>
        <v>0</v>
      </c>
      <c r="I21" s="14"/>
      <c r="J21" s="15">
        <f t="shared" ref="J21" si="17">IF((I21="x"),-10,0)</f>
        <v>0</v>
      </c>
      <c r="K21" s="14"/>
      <c r="L21" s="15">
        <f t="shared" ref="L21" si="18">IF((K21="x"),-20,0)</f>
        <v>0</v>
      </c>
      <c r="M21" s="14"/>
      <c r="N21" s="15">
        <f t="shared" ref="N21" si="19">IF((M21="x"),-30,0)</f>
        <v>0</v>
      </c>
      <c r="O21" s="16">
        <f t="shared" si="4"/>
        <v>20</v>
      </c>
      <c r="P21" s="16">
        <f t="shared" si="5"/>
        <v>30</v>
      </c>
      <c r="Q21" s="16">
        <f t="shared" ref="Q21:Q32" si="20">IF(($Q$3&lt;&gt;0),$Q$3*-10,15)</f>
        <v>-10</v>
      </c>
      <c r="R21" s="14"/>
      <c r="S21" s="15">
        <f>R21*15</f>
        <v>0</v>
      </c>
      <c r="T21" s="14"/>
      <c r="U21" s="15">
        <f t="shared" ref="U21" si="21">T21*-15</f>
        <v>0</v>
      </c>
      <c r="V21" s="16">
        <f t="shared" ref="V21" si="22">IF(AND(R21=2),10,IF(R21=3,30,IF(R21=4,50,IF(R21=5,70,0))))</f>
        <v>0</v>
      </c>
      <c r="W21" s="17">
        <f t="shared" ref="W21" si="23">IF(G21="x",H21+J21+L21+N21+O21+P21+Q21+S21+U21+V21,0)</f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3</v>
      </c>
      <c r="D22" s="21" t="str">
        <f>Spieltag!B9</f>
        <v>Min-Jae Kim (A)</v>
      </c>
      <c r="E22" s="12" t="str">
        <f>Spieltag!C9</f>
        <v>Abwehr</v>
      </c>
      <c r="F22" s="13" t="s">
        <v>54</v>
      </c>
      <c r="G22" s="14"/>
      <c r="H22" s="15">
        <f t="shared" si="0"/>
        <v>0</v>
      </c>
      <c r="I22" s="14"/>
      <c r="J22" s="15">
        <f t="shared" si="1"/>
        <v>0</v>
      </c>
      <c r="K22" s="14"/>
      <c r="L22" s="15">
        <f t="shared" si="2"/>
        <v>0</v>
      </c>
      <c r="M22" s="14"/>
      <c r="N22" s="15">
        <f t="shared" si="3"/>
        <v>0</v>
      </c>
      <c r="O22" s="16">
        <f t="shared" si="4"/>
        <v>20</v>
      </c>
      <c r="P22" s="16">
        <f t="shared" si="5"/>
        <v>30</v>
      </c>
      <c r="Q22" s="16">
        <f t="shared" si="20"/>
        <v>-10</v>
      </c>
      <c r="R22" s="14"/>
      <c r="S22" s="15">
        <f>R22*15</f>
        <v>0</v>
      </c>
      <c r="T22" s="14"/>
      <c r="U22" s="15">
        <f t="shared" si="6"/>
        <v>0</v>
      </c>
      <c r="V22" s="16">
        <f t="shared" si="7"/>
        <v>0</v>
      </c>
      <c r="W22" s="17">
        <f t="shared" si="8"/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4</v>
      </c>
      <c r="D23" s="21" t="str">
        <f>Spieltag!B10</f>
        <v>Matthijs de Ligt (A)</v>
      </c>
      <c r="E23" s="12" t="str">
        <f>Spieltag!C10</f>
        <v>Abwehr</v>
      </c>
      <c r="F23" s="13" t="s">
        <v>54</v>
      </c>
      <c r="G23" s="14"/>
      <c r="H23" s="15">
        <f t="shared" ref="H23:H24" si="24">IF(G23="x",10,0)</f>
        <v>0</v>
      </c>
      <c r="I23" s="14"/>
      <c r="J23" s="15">
        <f t="shared" ref="J23:J24" si="25">IF((I23="x"),-10,0)</f>
        <v>0</v>
      </c>
      <c r="K23" s="14"/>
      <c r="L23" s="15">
        <f t="shared" ref="L23:L24" si="26">IF((K23="x"),-20,0)</f>
        <v>0</v>
      </c>
      <c r="M23" s="14"/>
      <c r="N23" s="15">
        <f t="shared" ref="N23:N24" si="27">IF((M23="x"),-30,0)</f>
        <v>0</v>
      </c>
      <c r="O23" s="16">
        <f t="shared" si="4"/>
        <v>20</v>
      </c>
      <c r="P23" s="16">
        <f t="shared" si="5"/>
        <v>30</v>
      </c>
      <c r="Q23" s="16">
        <f t="shared" si="20"/>
        <v>-10</v>
      </c>
      <c r="R23" s="14"/>
      <c r="S23" s="15">
        <f t="shared" ref="S23:S24" si="28">R23*15</f>
        <v>0</v>
      </c>
      <c r="T23" s="14"/>
      <c r="U23" s="15">
        <f t="shared" ref="U23:U24" si="29">T23*-15</f>
        <v>0</v>
      </c>
      <c r="V23" s="16">
        <f t="shared" ref="V23:V24" si="30">IF(AND(R23=2),10,IF(R23=3,30,IF(R23=4,50,IF(R23=5,70,0))))</f>
        <v>0</v>
      </c>
      <c r="W23" s="17">
        <f t="shared" ref="W23:W24" si="31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15</v>
      </c>
      <c r="D24" s="21" t="str">
        <f>Spieltag!B11</f>
        <v>Eric Dier (A)</v>
      </c>
      <c r="E24" s="12" t="str">
        <f>Spieltag!C11</f>
        <v>Abwehr</v>
      </c>
      <c r="F24" s="13" t="s">
        <v>54</v>
      </c>
      <c r="G24" s="14"/>
      <c r="H24" s="15">
        <f t="shared" si="24"/>
        <v>0</v>
      </c>
      <c r="I24" s="14"/>
      <c r="J24" s="15">
        <f t="shared" si="25"/>
        <v>0</v>
      </c>
      <c r="K24" s="14"/>
      <c r="L24" s="15">
        <f t="shared" si="26"/>
        <v>0</v>
      </c>
      <c r="M24" s="14"/>
      <c r="N24" s="15">
        <f t="shared" si="27"/>
        <v>0</v>
      </c>
      <c r="O24" s="16">
        <f t="shared" si="4"/>
        <v>20</v>
      </c>
      <c r="P24" s="16">
        <f t="shared" si="5"/>
        <v>30</v>
      </c>
      <c r="Q24" s="16">
        <f t="shared" si="20"/>
        <v>-10</v>
      </c>
      <c r="R24" s="14"/>
      <c r="S24" s="15">
        <f t="shared" si="28"/>
        <v>0</v>
      </c>
      <c r="T24" s="14"/>
      <c r="U24" s="15">
        <f t="shared" si="29"/>
        <v>0</v>
      </c>
      <c r="V24" s="16">
        <f t="shared" si="30"/>
        <v>0</v>
      </c>
      <c r="W24" s="17">
        <f t="shared" si="31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19</v>
      </c>
      <c r="D25" s="21" t="str">
        <f>Spieltag!B12</f>
        <v>Alphonso Davies (A)</v>
      </c>
      <c r="E25" s="12" t="str">
        <f>Spieltag!C12</f>
        <v>Abwehr</v>
      </c>
      <c r="F25" s="13" t="s">
        <v>54</v>
      </c>
      <c r="G25" s="14"/>
      <c r="H25" s="15">
        <f t="shared" ref="H25:H29" si="32">IF(G25="x",10,0)</f>
        <v>0</v>
      </c>
      <c r="I25" s="14"/>
      <c r="J25" s="15">
        <f t="shared" ref="J25:J29" si="33">IF((I25="x"),-10,0)</f>
        <v>0</v>
      </c>
      <c r="K25" s="14"/>
      <c r="L25" s="15">
        <f t="shared" ref="L25:L29" si="34">IF((K25="x"),-20,0)</f>
        <v>0</v>
      </c>
      <c r="M25" s="14"/>
      <c r="N25" s="15">
        <f t="shared" ref="N25:N29" si="35">IF((M25="x"),-30,0)</f>
        <v>0</v>
      </c>
      <c r="O25" s="16">
        <f t="shared" si="4"/>
        <v>20</v>
      </c>
      <c r="P25" s="16">
        <f t="shared" si="5"/>
        <v>30</v>
      </c>
      <c r="Q25" s="16">
        <f t="shared" si="20"/>
        <v>-10</v>
      </c>
      <c r="R25" s="14"/>
      <c r="S25" s="15">
        <f t="shared" ref="S25:S29" si="36">R25*15</f>
        <v>0</v>
      </c>
      <c r="T25" s="14"/>
      <c r="U25" s="15">
        <f t="shared" ref="U25:U29" si="37">T25*-15</f>
        <v>0</v>
      </c>
      <c r="V25" s="16">
        <f t="shared" ref="V25:V29" si="38">IF(AND(R25=2),10,IF(R25=3,30,IF(R25=4,50,IF(R25=5,70,0))))</f>
        <v>0</v>
      </c>
      <c r="W25" s="17">
        <f t="shared" ref="W25:W29" si="39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20</v>
      </c>
      <c r="D26" s="21" t="str">
        <f>Spieltag!B13</f>
        <v>Bouna Sarr (A)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30</v>
      </c>
      <c r="Q26" s="16">
        <f t="shared" si="20"/>
        <v>-10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22</v>
      </c>
      <c r="D27" s="21" t="str">
        <f>Spieltag!B14</f>
        <v>Raphael Guerreiro (A)</v>
      </c>
      <c r="E27" s="12" t="str">
        <f>Spieltag!C14</f>
        <v>Abwehr</v>
      </c>
      <c r="F27" s="13" t="s">
        <v>54</v>
      </c>
      <c r="G27" s="14"/>
      <c r="H27" s="15">
        <f t="shared" ref="H27:H28" si="40">IF(G27="x",10,0)</f>
        <v>0</v>
      </c>
      <c r="I27" s="14"/>
      <c r="J27" s="15">
        <f t="shared" ref="J27:J28" si="41">IF((I27="x"),-10,0)</f>
        <v>0</v>
      </c>
      <c r="K27" s="14"/>
      <c r="L27" s="15">
        <f t="shared" ref="L27:L28" si="42">IF((K27="x"),-20,0)</f>
        <v>0</v>
      </c>
      <c r="M27" s="14"/>
      <c r="N27" s="15">
        <f t="shared" ref="N27:N28" si="43">IF((M27="x"),-30,0)</f>
        <v>0</v>
      </c>
      <c r="O27" s="16">
        <f t="shared" si="4"/>
        <v>20</v>
      </c>
      <c r="P27" s="16">
        <f t="shared" si="5"/>
        <v>30</v>
      </c>
      <c r="Q27" s="16">
        <f t="shared" si="20"/>
        <v>-10</v>
      </c>
      <c r="R27" s="14"/>
      <c r="S27" s="15">
        <f t="shared" ref="S27:S28" si="44">R27*15</f>
        <v>0</v>
      </c>
      <c r="T27" s="14"/>
      <c r="U27" s="15">
        <f t="shared" ref="U27:U28" si="45">T27*-15</f>
        <v>0</v>
      </c>
      <c r="V27" s="16">
        <f t="shared" ref="V27:V28" si="46">IF(AND(R27=2),10,IF(R27=3,30,IF(R27=4,50,IF(R27=5,70,0))))</f>
        <v>0</v>
      </c>
      <c r="W27" s="17">
        <f t="shared" ref="W27:W28" si="47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23</v>
      </c>
      <c r="D28" s="21" t="str">
        <f>Spieltag!B15</f>
        <v>Sacha Boey (A)</v>
      </c>
      <c r="E28" s="12" t="str">
        <f>Spieltag!C15</f>
        <v>Abwehr</v>
      </c>
      <c r="F28" s="13" t="s">
        <v>54</v>
      </c>
      <c r="G28" s="14"/>
      <c r="H28" s="15">
        <f t="shared" si="40"/>
        <v>0</v>
      </c>
      <c r="I28" s="14"/>
      <c r="J28" s="15">
        <f t="shared" si="41"/>
        <v>0</v>
      </c>
      <c r="K28" s="14"/>
      <c r="L28" s="15">
        <f t="shared" si="42"/>
        <v>0</v>
      </c>
      <c r="M28" s="14"/>
      <c r="N28" s="15">
        <f t="shared" si="43"/>
        <v>0</v>
      </c>
      <c r="O28" s="16">
        <f t="shared" si="4"/>
        <v>20</v>
      </c>
      <c r="P28" s="16">
        <f t="shared" si="5"/>
        <v>30</v>
      </c>
      <c r="Q28" s="16">
        <f t="shared" si="20"/>
        <v>-10</v>
      </c>
      <c r="R28" s="14"/>
      <c r="S28" s="15">
        <f t="shared" si="44"/>
        <v>0</v>
      </c>
      <c r="T28" s="14"/>
      <c r="U28" s="15">
        <f t="shared" si="45"/>
        <v>0</v>
      </c>
      <c r="V28" s="16">
        <f t="shared" si="46"/>
        <v>0</v>
      </c>
      <c r="W28" s="17">
        <f t="shared" si="47"/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28</v>
      </c>
      <c r="D29" s="21" t="str">
        <f>Spieltag!B16</f>
        <v>Tarek Buchmann</v>
      </c>
      <c r="E29" s="12" t="str">
        <f>Spieltag!C16</f>
        <v>Abwehr</v>
      </c>
      <c r="F29" s="13" t="s">
        <v>54</v>
      </c>
      <c r="G29" s="14"/>
      <c r="H29" s="15">
        <f t="shared" si="32"/>
        <v>0</v>
      </c>
      <c r="I29" s="14"/>
      <c r="J29" s="15">
        <f t="shared" si="33"/>
        <v>0</v>
      </c>
      <c r="K29" s="14"/>
      <c r="L29" s="15">
        <f t="shared" si="34"/>
        <v>0</v>
      </c>
      <c r="M29" s="14"/>
      <c r="N29" s="15">
        <f t="shared" si="35"/>
        <v>0</v>
      </c>
      <c r="O29" s="16">
        <f t="shared" si="4"/>
        <v>20</v>
      </c>
      <c r="P29" s="16">
        <f t="shared" si="5"/>
        <v>30</v>
      </c>
      <c r="Q29" s="16">
        <f t="shared" si="20"/>
        <v>-10</v>
      </c>
      <c r="R29" s="14"/>
      <c r="S29" s="15">
        <f t="shared" si="36"/>
        <v>0</v>
      </c>
      <c r="T29" s="14"/>
      <c r="U29" s="15">
        <f t="shared" si="37"/>
        <v>0</v>
      </c>
      <c r="V29" s="16">
        <f t="shared" si="38"/>
        <v>0</v>
      </c>
      <c r="W29" s="17">
        <f t="shared" si="39"/>
        <v>0</v>
      </c>
    </row>
    <row r="30" spans="1:23" ht="10.5" hidden="1" customHeight="1" x14ac:dyDescent="0.2">
      <c r="A30" s="11"/>
      <c r="B30" s="163">
        <f>COUNTA(Spieltag!K17:AA17)</f>
        <v>0</v>
      </c>
      <c r="C30" s="166">
        <f>Spieltag!A17</f>
        <v>40</v>
      </c>
      <c r="D30" s="21" t="str">
        <f>Spieltag!B17</f>
        <v>Noussair Mazraoui (A)</v>
      </c>
      <c r="E30" s="12" t="str">
        <f>Spieltag!C17</f>
        <v>Abwehr</v>
      </c>
      <c r="F30" s="13" t="s">
        <v>54</v>
      </c>
      <c r="G30" s="14"/>
      <c r="H30" s="15">
        <f t="shared" ref="H30:H32" si="48">IF(G30="x",10,0)</f>
        <v>0</v>
      </c>
      <c r="I30" s="14"/>
      <c r="J30" s="15">
        <f t="shared" ref="J30:J32" si="49">IF((I30="x"),-10,0)</f>
        <v>0</v>
      </c>
      <c r="K30" s="14"/>
      <c r="L30" s="15">
        <f t="shared" ref="L30:L32" si="50">IF((K30="x"),-20,0)</f>
        <v>0</v>
      </c>
      <c r="M30" s="14"/>
      <c r="N30" s="15">
        <f t="shared" ref="N30:N32" si="51">IF((M30="x"),-30,0)</f>
        <v>0</v>
      </c>
      <c r="O30" s="16">
        <f t="shared" si="4"/>
        <v>20</v>
      </c>
      <c r="P30" s="16">
        <f t="shared" si="5"/>
        <v>30</v>
      </c>
      <c r="Q30" s="16">
        <f t="shared" si="20"/>
        <v>-10</v>
      </c>
      <c r="R30" s="14"/>
      <c r="S30" s="15">
        <f t="shared" ref="S30:S32" si="52">R30*15</f>
        <v>0</v>
      </c>
      <c r="T30" s="14"/>
      <c r="U30" s="15">
        <f t="shared" ref="U30:U32" si="53">T30*-15</f>
        <v>0</v>
      </c>
      <c r="V30" s="16">
        <f t="shared" ref="V30:V32" si="54">IF(AND(R30=2),10,IF(R30=3,30,IF(R30=4,50,IF(R30=5,70,0))))</f>
        <v>0</v>
      </c>
      <c r="W30" s="17">
        <f t="shared" ref="W30:W32" si="55">IF(G30="x",H30+J30+L30+N30+O30+P30+Q30+S30+U30+V30,0)</f>
        <v>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41</v>
      </c>
      <c r="D31" s="21" t="str">
        <f>Spieltag!B18</f>
        <v xml:space="preserve">Frans Krätzig </v>
      </c>
      <c r="E31" s="12" t="str">
        <f>Spieltag!C18</f>
        <v>Abwehr</v>
      </c>
      <c r="F31" s="13" t="s">
        <v>54</v>
      </c>
      <c r="G31" s="14"/>
      <c r="H31" s="15">
        <f t="shared" ref="H31" si="56">IF(G31="x",10,0)</f>
        <v>0</v>
      </c>
      <c r="I31" s="14"/>
      <c r="J31" s="15">
        <f t="shared" ref="J31" si="57">IF((I31="x"),-10,0)</f>
        <v>0</v>
      </c>
      <c r="K31" s="14"/>
      <c r="L31" s="15">
        <f t="shared" ref="L31" si="58">IF((K31="x"),-20,0)</f>
        <v>0</v>
      </c>
      <c r="M31" s="14"/>
      <c r="N31" s="15">
        <f t="shared" ref="N31" si="59">IF((M31="x"),-30,0)</f>
        <v>0</v>
      </c>
      <c r="O31" s="16">
        <f t="shared" si="4"/>
        <v>20</v>
      </c>
      <c r="P31" s="16">
        <f t="shared" si="5"/>
        <v>30</v>
      </c>
      <c r="Q31" s="16">
        <f t="shared" si="20"/>
        <v>-10</v>
      </c>
      <c r="R31" s="14"/>
      <c r="S31" s="15">
        <f t="shared" ref="S31" si="60">R31*15</f>
        <v>0</v>
      </c>
      <c r="T31" s="14"/>
      <c r="U31" s="15">
        <f t="shared" ref="U31" si="61">T31*-15</f>
        <v>0</v>
      </c>
      <c r="V31" s="16">
        <f t="shared" ref="V31" si="62">IF(AND(R31=2),10,IF(R31=3,30,IF(R31=4,50,IF(R31=5,70,0))))</f>
        <v>0</v>
      </c>
      <c r="W31" s="17">
        <f t="shared" ref="W31" si="63">IF(G31="x",H31+J31+L31+N31+O31+P31+Q31+S31+U31+V31,0)</f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44</v>
      </c>
      <c r="D32" s="21" t="str">
        <f>Spieltag!B19</f>
        <v>Adam Aznou (A)</v>
      </c>
      <c r="E32" s="12" t="str">
        <f>Spieltag!C19</f>
        <v>Abwehr</v>
      </c>
      <c r="F32" s="13" t="s">
        <v>54</v>
      </c>
      <c r="G32" s="14"/>
      <c r="H32" s="15">
        <f t="shared" si="48"/>
        <v>0</v>
      </c>
      <c r="I32" s="14"/>
      <c r="J32" s="15">
        <f t="shared" si="49"/>
        <v>0</v>
      </c>
      <c r="K32" s="14"/>
      <c r="L32" s="15">
        <f t="shared" si="50"/>
        <v>0</v>
      </c>
      <c r="M32" s="14"/>
      <c r="N32" s="15">
        <f t="shared" si="51"/>
        <v>0</v>
      </c>
      <c r="O32" s="16">
        <f t="shared" si="4"/>
        <v>20</v>
      </c>
      <c r="P32" s="16">
        <f t="shared" si="5"/>
        <v>30</v>
      </c>
      <c r="Q32" s="16">
        <f t="shared" si="20"/>
        <v>-10</v>
      </c>
      <c r="R32" s="14"/>
      <c r="S32" s="15">
        <f t="shared" si="52"/>
        <v>0</v>
      </c>
      <c r="T32" s="14"/>
      <c r="U32" s="15">
        <f t="shared" si="53"/>
        <v>0</v>
      </c>
      <c r="V32" s="16">
        <f t="shared" si="54"/>
        <v>0</v>
      </c>
      <c r="W32" s="17">
        <f t="shared" si="55"/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6</v>
      </c>
      <c r="D33" s="21" t="str">
        <f>Spieltag!B20</f>
        <v>Joshua Kimmich</v>
      </c>
      <c r="E33" s="12" t="str">
        <f>Spieltag!C20</f>
        <v>Mittelfeld</v>
      </c>
      <c r="F33" s="13" t="s">
        <v>54</v>
      </c>
      <c r="G33" s="14"/>
      <c r="H33" s="15">
        <f>IF(G33="x",10,0)</f>
        <v>0</v>
      </c>
      <c r="I33" s="14"/>
      <c r="J33" s="15">
        <f>IF((I33="x"),-10,0)</f>
        <v>0</v>
      </c>
      <c r="K33" s="14"/>
      <c r="L33" s="15">
        <f>IF((K33="x"),-20,0)</f>
        <v>0</v>
      </c>
      <c r="M33" s="14"/>
      <c r="N33" s="15">
        <f>IF((M33="x"),-30,0)</f>
        <v>0</v>
      </c>
      <c r="O33" s="16">
        <f t="shared" si="4"/>
        <v>20</v>
      </c>
      <c r="P33" s="16">
        <f t="shared" si="5"/>
        <v>30</v>
      </c>
      <c r="Q33" s="16">
        <f t="shared" ref="Q33:Q41" si="64">IF(($Q$3&lt;&gt;0),$Q$3*-10,10)</f>
        <v>-10</v>
      </c>
      <c r="R33" s="14"/>
      <c r="S33" s="15">
        <f>R33*10</f>
        <v>0</v>
      </c>
      <c r="T33" s="14"/>
      <c r="U33" s="15">
        <f>T33*-15</f>
        <v>0</v>
      </c>
      <c r="V33" s="16">
        <f>IF(AND(R33=2),10,IF(R33=3,30,IF(R33=4,50,IF(R33=5,70,0))))</f>
        <v>0</v>
      </c>
      <c r="W33" s="17">
        <f>IF(G33="x",H33+J33+L33+N33+O33+P33+Q33+S33+U33+V33,0)</f>
        <v>0</v>
      </c>
    </row>
    <row r="34" spans="1:23" ht="10.5" customHeight="1" x14ac:dyDescent="0.2">
      <c r="A34" s="11"/>
      <c r="B34" s="163">
        <f>COUNTA(Spieltag!K21:AA21)</f>
        <v>1</v>
      </c>
      <c r="C34" s="166">
        <f>Spieltag!A21</f>
        <v>8</v>
      </c>
      <c r="D34" s="21" t="str">
        <f>Spieltag!B21</f>
        <v>Leon Goretzka</v>
      </c>
      <c r="E34" s="12" t="str">
        <f>Spieltag!C21</f>
        <v>Mittelfeld</v>
      </c>
      <c r="F34" s="13" t="s">
        <v>54</v>
      </c>
      <c r="G34" s="14" t="s">
        <v>675</v>
      </c>
      <c r="H34" s="15">
        <f t="shared" ref="H34:H41" si="65">IF(G34="x",10,0)</f>
        <v>10</v>
      </c>
      <c r="I34" s="14"/>
      <c r="J34" s="15">
        <f t="shared" ref="J34:J41" si="66">IF((I34="x"),-10,0)</f>
        <v>0</v>
      </c>
      <c r="K34" s="14"/>
      <c r="L34" s="15">
        <f t="shared" ref="L34:L41" si="67">IF((K34="x"),-20,0)</f>
        <v>0</v>
      </c>
      <c r="M34" s="14"/>
      <c r="N34" s="15">
        <f t="shared" ref="N34:N41" si="68">IF((M34="x"),-30,0)</f>
        <v>0</v>
      </c>
      <c r="O34" s="16">
        <f t="shared" si="4"/>
        <v>20</v>
      </c>
      <c r="P34" s="16">
        <f t="shared" si="5"/>
        <v>30</v>
      </c>
      <c r="Q34" s="16">
        <f t="shared" si="64"/>
        <v>-10</v>
      </c>
      <c r="R34" s="14"/>
      <c r="S34" s="15">
        <f t="shared" ref="S34:S41" si="69">R34*10</f>
        <v>0</v>
      </c>
      <c r="T34" s="14"/>
      <c r="U34" s="15">
        <f t="shared" ref="U34:U41" si="70">T34*-15</f>
        <v>0</v>
      </c>
      <c r="V34" s="16">
        <f t="shared" ref="V34:V41" si="71">IF(AND(R34=2),10,IF(R34=3,30,IF(R34=4,50,IF(R34=5,70,0))))</f>
        <v>0</v>
      </c>
      <c r="W34" s="17">
        <f t="shared" ref="W34:W41" si="72">IF(G34="x",H34+J34+L34+N34+O34+P34+Q34+S34+U34+V34,0)</f>
        <v>50</v>
      </c>
    </row>
    <row r="35" spans="1:23" ht="10.5" hidden="1" customHeight="1" x14ac:dyDescent="0.2">
      <c r="A35" s="11"/>
      <c r="B35" s="163">
        <f>COUNTA(Spieltag!K22:AA22)</f>
        <v>0</v>
      </c>
      <c r="C35" s="166">
        <f>Spieltag!A22</f>
        <v>27</v>
      </c>
      <c r="D35" s="21" t="str">
        <f>Spieltag!B22</f>
        <v>Konrad Laimer (A)</v>
      </c>
      <c r="E35" s="12" t="str">
        <f>Spieltag!C22</f>
        <v>Mittelfeld</v>
      </c>
      <c r="F35" s="13" t="s">
        <v>54</v>
      </c>
      <c r="G35" s="14"/>
      <c r="H35" s="15">
        <f t="shared" si="65"/>
        <v>0</v>
      </c>
      <c r="I35" s="14"/>
      <c r="J35" s="15">
        <f t="shared" si="66"/>
        <v>0</v>
      </c>
      <c r="K35" s="14"/>
      <c r="L35" s="15">
        <f t="shared" si="67"/>
        <v>0</v>
      </c>
      <c r="M35" s="14"/>
      <c r="N35" s="15">
        <f t="shared" si="68"/>
        <v>0</v>
      </c>
      <c r="O35" s="16">
        <f t="shared" si="4"/>
        <v>20</v>
      </c>
      <c r="P35" s="16">
        <f t="shared" si="5"/>
        <v>30</v>
      </c>
      <c r="Q35" s="16">
        <f t="shared" si="64"/>
        <v>-10</v>
      </c>
      <c r="R35" s="14"/>
      <c r="S35" s="15">
        <f t="shared" si="69"/>
        <v>0</v>
      </c>
      <c r="T35" s="14"/>
      <c r="U35" s="15">
        <f t="shared" si="70"/>
        <v>0</v>
      </c>
      <c r="V35" s="16">
        <f t="shared" si="71"/>
        <v>0</v>
      </c>
      <c r="W35" s="17">
        <f t="shared" si="72"/>
        <v>0</v>
      </c>
    </row>
    <row r="36" spans="1:23" ht="10.5" hidden="1" customHeight="1" x14ac:dyDescent="0.2">
      <c r="A36" s="11"/>
      <c r="B36" s="163">
        <f>COUNTA(Spieltag!K23:AA23)</f>
        <v>0</v>
      </c>
      <c r="C36" s="166">
        <f>Spieltag!A23</f>
        <v>34</v>
      </c>
      <c r="D36" s="21" t="str">
        <f>Spieltag!B23</f>
        <v>Lovro Zvonarek (A)</v>
      </c>
      <c r="E36" s="12" t="str">
        <f>Spieltag!C23</f>
        <v>Mittelfeld</v>
      </c>
      <c r="F36" s="13" t="s">
        <v>54</v>
      </c>
      <c r="G36" s="14"/>
      <c r="H36" s="15">
        <f t="shared" ref="H36" si="73">IF(G36="x",10,0)</f>
        <v>0</v>
      </c>
      <c r="I36" s="14"/>
      <c r="J36" s="15">
        <f t="shared" ref="J36" si="74">IF((I36="x"),-10,0)</f>
        <v>0</v>
      </c>
      <c r="K36" s="14"/>
      <c r="L36" s="15">
        <f t="shared" ref="L36" si="75">IF((K36="x"),-20,0)</f>
        <v>0</v>
      </c>
      <c r="M36" s="14"/>
      <c r="N36" s="15">
        <f t="shared" ref="N36" si="76">IF((M36="x"),-30,0)</f>
        <v>0</v>
      </c>
      <c r="O36" s="16">
        <f t="shared" si="4"/>
        <v>20</v>
      </c>
      <c r="P36" s="16">
        <f t="shared" si="5"/>
        <v>30</v>
      </c>
      <c r="Q36" s="16">
        <f t="shared" si="64"/>
        <v>-10</v>
      </c>
      <c r="R36" s="14"/>
      <c r="S36" s="15">
        <f t="shared" ref="S36" si="77">R36*10</f>
        <v>0</v>
      </c>
      <c r="T36" s="14"/>
      <c r="U36" s="15">
        <f t="shared" ref="U36" si="78">T36*-15</f>
        <v>0</v>
      </c>
      <c r="V36" s="16">
        <f t="shared" ref="V36" si="79">IF(AND(R36=2),10,IF(R36=3,30,IF(R36=4,50,IF(R36=5,70,0))))</f>
        <v>0</v>
      </c>
      <c r="W36" s="17">
        <f t="shared" ref="W36" si="80">IF(G36="x",H36+J36+L36+N36+O36+P36+Q36+S36+U36+V36,0)</f>
        <v>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36</v>
      </c>
      <c r="D37" s="21" t="str">
        <f>Spieltag!B24</f>
        <v>Noel Aeko Nkili</v>
      </c>
      <c r="E37" s="12" t="str">
        <f>Spieltag!C24</f>
        <v>Mittelfeld</v>
      </c>
      <c r="F37" s="13" t="s">
        <v>54</v>
      </c>
      <c r="G37" s="14"/>
      <c r="H37" s="15">
        <f t="shared" ref="H37" si="81">IF(G37="x",10,0)</f>
        <v>0</v>
      </c>
      <c r="I37" s="14"/>
      <c r="J37" s="15">
        <f t="shared" ref="J37" si="82">IF((I37="x"),-10,0)</f>
        <v>0</v>
      </c>
      <c r="K37" s="14"/>
      <c r="L37" s="15">
        <f t="shared" ref="L37" si="83">IF((K37="x"),-20,0)</f>
        <v>0</v>
      </c>
      <c r="M37" s="14"/>
      <c r="N37" s="15">
        <f t="shared" ref="N37" si="84">IF((M37="x"),-30,0)</f>
        <v>0</v>
      </c>
      <c r="O37" s="16">
        <f t="shared" si="4"/>
        <v>20</v>
      </c>
      <c r="P37" s="16">
        <f t="shared" si="5"/>
        <v>30</v>
      </c>
      <c r="Q37" s="16">
        <f t="shared" si="64"/>
        <v>-10</v>
      </c>
      <c r="R37" s="14"/>
      <c r="S37" s="15">
        <f t="shared" ref="S37" si="85">R37*10</f>
        <v>0</v>
      </c>
      <c r="T37" s="14"/>
      <c r="U37" s="15">
        <f t="shared" ref="U37" si="86">T37*-15</f>
        <v>0</v>
      </c>
      <c r="V37" s="16">
        <f t="shared" ref="V37" si="87">IF(AND(R37=2),10,IF(R37=3,30,IF(R37=4,50,IF(R37=5,70,0))))</f>
        <v>0</v>
      </c>
      <c r="W37" s="17">
        <f t="shared" ref="W37" si="88">IF(G37="x",H37+J37+L37+N37+O37+P37+Q37+S37+U37+V37,0)</f>
        <v>0</v>
      </c>
    </row>
    <row r="38" spans="1:23" ht="10.5" hidden="1" customHeight="1" x14ac:dyDescent="0.2">
      <c r="A38" s="11"/>
      <c r="B38" s="163">
        <f>COUNTA(Spieltag!K25:AA25)</f>
        <v>0</v>
      </c>
      <c r="C38" s="166">
        <f>Spieltag!A25</f>
        <v>37</v>
      </c>
      <c r="D38" s="21" t="str">
        <f>Spieltag!B25</f>
        <v>Luca Denk</v>
      </c>
      <c r="E38" s="12" t="str">
        <f>Spieltag!C25</f>
        <v>Mittelfeld</v>
      </c>
      <c r="F38" s="13" t="s">
        <v>54</v>
      </c>
      <c r="G38" s="14"/>
      <c r="H38" s="15">
        <f t="shared" ref="H38" si="89">IF(G38="x",10,0)</f>
        <v>0</v>
      </c>
      <c r="I38" s="14"/>
      <c r="J38" s="15">
        <f t="shared" ref="J38" si="90">IF((I38="x"),-10,0)</f>
        <v>0</v>
      </c>
      <c r="K38" s="14"/>
      <c r="L38" s="15">
        <f t="shared" ref="L38" si="91">IF((K38="x"),-20,0)</f>
        <v>0</v>
      </c>
      <c r="M38" s="14"/>
      <c r="N38" s="15">
        <f t="shared" ref="N38" si="92">IF((M38="x"),-30,0)</f>
        <v>0</v>
      </c>
      <c r="O38" s="16">
        <f t="shared" si="4"/>
        <v>20</v>
      </c>
      <c r="P38" s="16">
        <f t="shared" si="5"/>
        <v>30</v>
      </c>
      <c r="Q38" s="16">
        <f t="shared" si="64"/>
        <v>-10</v>
      </c>
      <c r="R38" s="14"/>
      <c r="S38" s="15">
        <f t="shared" ref="S38" si="93">R38*10</f>
        <v>0</v>
      </c>
      <c r="T38" s="14"/>
      <c r="U38" s="15">
        <f t="shared" ref="U38" si="94">T38*-15</f>
        <v>0</v>
      </c>
      <c r="V38" s="16">
        <f t="shared" ref="V38" si="95">IF(AND(R38=2),10,IF(R38=3,30,IF(R38=4,50,IF(R38=5,70,0))))</f>
        <v>0</v>
      </c>
      <c r="W38" s="17">
        <f t="shared" ref="W38" si="96">IF(G38="x",H38+J38+L38+N38+O38+P38+Q38+S38+U38+V38,0)</f>
        <v>0</v>
      </c>
    </row>
    <row r="39" spans="1:23" ht="10.5" customHeight="1" x14ac:dyDescent="0.2">
      <c r="A39" s="11"/>
      <c r="B39" s="163">
        <f>COUNTA(Spieltag!K26:AA26)</f>
        <v>3</v>
      </c>
      <c r="C39" s="166">
        <f>Spieltag!A26</f>
        <v>42</v>
      </c>
      <c r="D39" s="21" t="str">
        <f>Spieltag!B26</f>
        <v>Jamal Musiala</v>
      </c>
      <c r="E39" s="12" t="str">
        <f>Spieltag!C26</f>
        <v>Mittelfeld</v>
      </c>
      <c r="F39" s="13" t="s">
        <v>54</v>
      </c>
      <c r="G39" s="14" t="s">
        <v>675</v>
      </c>
      <c r="H39" s="15">
        <f t="shared" ref="H39:H40" si="97">IF(G39="x",10,0)</f>
        <v>10</v>
      </c>
      <c r="I39" s="14"/>
      <c r="J39" s="15">
        <f t="shared" ref="J39:J40" si="98">IF((I39="x"),-10,0)</f>
        <v>0</v>
      </c>
      <c r="K39" s="14"/>
      <c r="L39" s="15">
        <f t="shared" ref="L39:L40" si="99">IF((K39="x"),-20,0)</f>
        <v>0</v>
      </c>
      <c r="M39" s="14"/>
      <c r="N39" s="15">
        <f t="shared" ref="N39:N40" si="100">IF((M39="x"),-30,0)</f>
        <v>0</v>
      </c>
      <c r="O39" s="16">
        <f t="shared" si="4"/>
        <v>20</v>
      </c>
      <c r="P39" s="16">
        <f t="shared" si="5"/>
        <v>30</v>
      </c>
      <c r="Q39" s="16">
        <f t="shared" si="64"/>
        <v>-10</v>
      </c>
      <c r="R39" s="14"/>
      <c r="S39" s="15">
        <f t="shared" ref="S39:S40" si="101">R39*10</f>
        <v>0</v>
      </c>
      <c r="T39" s="14"/>
      <c r="U39" s="15">
        <f t="shared" ref="U39:U40" si="102">T39*-15</f>
        <v>0</v>
      </c>
      <c r="V39" s="16">
        <f t="shared" ref="V39:V40" si="103">IF(AND(R39=2),10,IF(R39=3,30,IF(R39=4,50,IF(R39=5,70,0))))</f>
        <v>0</v>
      </c>
      <c r="W39" s="17">
        <f t="shared" ref="W39:W40" si="104">IF(G39="x",H39+J39+L39+N39+O39+P39+Q39+S39+U39+V39,0)</f>
        <v>50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45</v>
      </c>
      <c r="D40" s="21" t="str">
        <f>Spieltag!B27</f>
        <v>Aleksandar Pavlovic</v>
      </c>
      <c r="E40" s="12" t="str">
        <f>Spieltag!C27</f>
        <v>Mittelfeld</v>
      </c>
      <c r="F40" s="13" t="s">
        <v>54</v>
      </c>
      <c r="G40" s="14"/>
      <c r="H40" s="15">
        <f t="shared" si="97"/>
        <v>0</v>
      </c>
      <c r="I40" s="14"/>
      <c r="J40" s="15">
        <f t="shared" si="98"/>
        <v>0</v>
      </c>
      <c r="K40" s="14"/>
      <c r="L40" s="15">
        <f t="shared" si="99"/>
        <v>0</v>
      </c>
      <c r="M40" s="14"/>
      <c r="N40" s="15">
        <f t="shared" si="100"/>
        <v>0</v>
      </c>
      <c r="O40" s="16">
        <f t="shared" si="4"/>
        <v>20</v>
      </c>
      <c r="P40" s="16">
        <f t="shared" si="5"/>
        <v>30</v>
      </c>
      <c r="Q40" s="16">
        <f t="shared" si="64"/>
        <v>-10</v>
      </c>
      <c r="R40" s="14"/>
      <c r="S40" s="15">
        <f t="shared" si="101"/>
        <v>0</v>
      </c>
      <c r="T40" s="14"/>
      <c r="U40" s="15">
        <f t="shared" si="102"/>
        <v>0</v>
      </c>
      <c r="V40" s="16">
        <f t="shared" si="103"/>
        <v>0</v>
      </c>
      <c r="W40" s="17">
        <f t="shared" si="104"/>
        <v>0</v>
      </c>
    </row>
    <row r="41" spans="1:23" ht="10.5" hidden="1" customHeight="1" x14ac:dyDescent="0.2">
      <c r="A41" s="11"/>
      <c r="B41" s="163">
        <f>COUNTA(Spieltag!K28:AA28)</f>
        <v>0</v>
      </c>
      <c r="C41" s="166">
        <f>Spieltag!A28</f>
        <v>46</v>
      </c>
      <c r="D41" s="21" t="str">
        <f>Spieltag!B28</f>
        <v>Taichi Fukui (A)</v>
      </c>
      <c r="E41" s="12" t="str">
        <f>Spieltag!C28</f>
        <v>Mittelfeld</v>
      </c>
      <c r="F41" s="13" t="s">
        <v>54</v>
      </c>
      <c r="G41" s="14"/>
      <c r="H41" s="15">
        <f t="shared" si="65"/>
        <v>0</v>
      </c>
      <c r="I41" s="14"/>
      <c r="J41" s="15">
        <f t="shared" si="66"/>
        <v>0</v>
      </c>
      <c r="K41" s="14"/>
      <c r="L41" s="15">
        <f t="shared" si="67"/>
        <v>0</v>
      </c>
      <c r="M41" s="14"/>
      <c r="N41" s="15">
        <f t="shared" si="68"/>
        <v>0</v>
      </c>
      <c r="O41" s="16">
        <f t="shared" si="4"/>
        <v>20</v>
      </c>
      <c r="P41" s="16">
        <f t="shared" si="5"/>
        <v>30</v>
      </c>
      <c r="Q41" s="16">
        <f t="shared" si="64"/>
        <v>-10</v>
      </c>
      <c r="R41" s="14"/>
      <c r="S41" s="15">
        <f t="shared" si="69"/>
        <v>0</v>
      </c>
      <c r="T41" s="14"/>
      <c r="U41" s="15">
        <f t="shared" si="70"/>
        <v>0</v>
      </c>
      <c r="V41" s="16">
        <f t="shared" si="71"/>
        <v>0</v>
      </c>
      <c r="W41" s="17">
        <f t="shared" si="72"/>
        <v>0</v>
      </c>
    </row>
    <row r="42" spans="1:23" ht="10.5" hidden="1" customHeight="1" x14ac:dyDescent="0.2">
      <c r="A42" s="11"/>
      <c r="B42" s="163">
        <f>COUNTA(Spieltag!K29:AA29)</f>
        <v>0</v>
      </c>
      <c r="C42" s="166">
        <f>Spieltag!A29</f>
        <v>7</v>
      </c>
      <c r="D42" s="21" t="str">
        <f>Spieltag!B29</f>
        <v>Serge Gnabry</v>
      </c>
      <c r="E42" s="12" t="str">
        <f>Spieltag!C29</f>
        <v>Sturm</v>
      </c>
      <c r="F42" s="13" t="s">
        <v>54</v>
      </c>
      <c r="G42" s="14"/>
      <c r="H42" s="15">
        <f>IF(G42="x",10,0)</f>
        <v>0</v>
      </c>
      <c r="I42" s="14"/>
      <c r="J42" s="15">
        <f>IF((I42="x"),-10,0)</f>
        <v>0</v>
      </c>
      <c r="K42" s="14"/>
      <c r="L42" s="15">
        <f>IF((K42="x"),-20,0)</f>
        <v>0</v>
      </c>
      <c r="M42" s="14"/>
      <c r="N42" s="15">
        <f>IF((M42="x"),-30,0)</f>
        <v>0</v>
      </c>
      <c r="O42" s="16">
        <f t="shared" si="4"/>
        <v>20</v>
      </c>
      <c r="P42" s="16">
        <f t="shared" si="5"/>
        <v>30</v>
      </c>
      <c r="Q42" s="16">
        <f>IF(($Q$3&lt;&gt;0),$Q$3*-10,5)</f>
        <v>-10</v>
      </c>
      <c r="R42" s="14"/>
      <c r="S42" s="15">
        <f>R42*10</f>
        <v>0</v>
      </c>
      <c r="T42" s="14"/>
      <c r="U42" s="15">
        <f>T42*-15</f>
        <v>0</v>
      </c>
      <c r="V42" s="16">
        <f>IF(AND(R42=2),10,IF(R42=3,30,IF(R42=4,50,IF(R42=5,70,0))))</f>
        <v>0</v>
      </c>
      <c r="W42" s="17">
        <f>IF(G42="x",H42+J42+L42+N42+O42+P42+Q42+S42+U42+V42,0)</f>
        <v>0</v>
      </c>
    </row>
    <row r="43" spans="1:23" ht="10.5" customHeight="1" x14ac:dyDescent="0.2">
      <c r="A43" s="11"/>
      <c r="B43" s="163">
        <f>COUNTA(Spieltag!K30:AA30)</f>
        <v>9</v>
      </c>
      <c r="C43" s="166">
        <f>Spieltag!A30</f>
        <v>9</v>
      </c>
      <c r="D43" s="21" t="str">
        <f>Spieltag!B30</f>
        <v>Harry Kane (A)</v>
      </c>
      <c r="E43" s="12" t="str">
        <f>Spieltag!C30</f>
        <v>Sturm</v>
      </c>
      <c r="F43" s="13" t="s">
        <v>54</v>
      </c>
      <c r="G43" s="14" t="s">
        <v>675</v>
      </c>
      <c r="H43" s="15">
        <f t="shared" ref="H43" si="105">IF(G43="x",10,0)</f>
        <v>10</v>
      </c>
      <c r="I43" s="14"/>
      <c r="J43" s="15">
        <f t="shared" ref="J43" si="106">IF((I43="x"),-10,0)</f>
        <v>0</v>
      </c>
      <c r="K43" s="14"/>
      <c r="L43" s="15">
        <f t="shared" ref="L43" si="107">IF((K43="x"),-20,0)</f>
        <v>0</v>
      </c>
      <c r="M43" s="14"/>
      <c r="N43" s="15">
        <f t="shared" ref="N43" si="108">IF((M43="x"),-30,0)</f>
        <v>0</v>
      </c>
      <c r="O43" s="16">
        <f t="shared" si="4"/>
        <v>20</v>
      </c>
      <c r="P43" s="16">
        <f t="shared" si="5"/>
        <v>30</v>
      </c>
      <c r="Q43" s="16">
        <f t="shared" ref="Q43:Q48" si="109">IF(($Q$3&lt;&gt;0),$Q$3*-10,5)</f>
        <v>-10</v>
      </c>
      <c r="R43" s="14">
        <v>1</v>
      </c>
      <c r="S43" s="15">
        <f t="shared" ref="S43" si="110">R43*10</f>
        <v>10</v>
      </c>
      <c r="T43" s="14"/>
      <c r="U43" s="15">
        <f t="shared" ref="U43" si="111">T43*-15</f>
        <v>0</v>
      </c>
      <c r="V43" s="16">
        <f t="shared" ref="V43" si="112">IF(AND(R43=2),10,IF(R43=3,30,IF(R43=4,50,IF(R43=5,70,0))))</f>
        <v>0</v>
      </c>
      <c r="W43" s="17">
        <f t="shared" ref="W43" si="113">IF(G43="x",H43+J43+L43+N43+O43+P43+Q43+S43+U43+V43,0)</f>
        <v>60</v>
      </c>
    </row>
    <row r="44" spans="1:23" ht="10.5" customHeight="1" x14ac:dyDescent="0.2">
      <c r="A44" s="11"/>
      <c r="B44" s="163">
        <f>COUNTA(Spieltag!K31:AA31)</f>
        <v>2</v>
      </c>
      <c r="C44" s="166">
        <f>Spieltag!A31</f>
        <v>10</v>
      </c>
      <c r="D44" s="21" t="str">
        <f>Spieltag!B31</f>
        <v>Leroy Sané</v>
      </c>
      <c r="E44" s="12" t="str">
        <f>Spieltag!C31</f>
        <v>Sturm</v>
      </c>
      <c r="F44" s="13" t="s">
        <v>54</v>
      </c>
      <c r="G44" s="14" t="s">
        <v>675</v>
      </c>
      <c r="H44" s="15">
        <f t="shared" ref="H44:H48" si="114">IF(G44="x",10,0)</f>
        <v>10</v>
      </c>
      <c r="I44" s="14"/>
      <c r="J44" s="15">
        <f t="shared" ref="J44:J48" si="115">IF((I44="x"),-10,0)</f>
        <v>0</v>
      </c>
      <c r="K44" s="14"/>
      <c r="L44" s="15">
        <f t="shared" ref="L44:L48" si="116">IF((K44="x"),-20,0)</f>
        <v>0</v>
      </c>
      <c r="M44" s="14"/>
      <c r="N44" s="15">
        <f t="shared" ref="N44:N48" si="117">IF((M44="x"),-30,0)</f>
        <v>0</v>
      </c>
      <c r="O44" s="16">
        <f t="shared" si="4"/>
        <v>20</v>
      </c>
      <c r="P44" s="16">
        <f t="shared" si="5"/>
        <v>30</v>
      </c>
      <c r="Q44" s="16">
        <f t="shared" si="109"/>
        <v>-10</v>
      </c>
      <c r="R44" s="14"/>
      <c r="S44" s="15">
        <f t="shared" ref="S44:S48" si="118">R44*10</f>
        <v>0</v>
      </c>
      <c r="T44" s="14"/>
      <c r="U44" s="15">
        <f t="shared" ref="U44:U48" si="119">T44*-15</f>
        <v>0</v>
      </c>
      <c r="V44" s="16">
        <f t="shared" ref="V44:V48" si="120">IF(AND(R44=2),10,IF(R44=3,30,IF(R44=4,50,IF(R44=5,70,0))))</f>
        <v>0</v>
      </c>
      <c r="W44" s="17">
        <f t="shared" ref="W44:W48" si="121">IF(G44="x",H44+J44+L44+N44+O44+P44+Q44+S44+U44+V44,0)</f>
        <v>50</v>
      </c>
    </row>
    <row r="45" spans="1:23" ht="10.5" hidden="1" customHeight="1" x14ac:dyDescent="0.2">
      <c r="A45" s="11"/>
      <c r="B45" s="163">
        <f>COUNTA(Spieltag!K32:AA32)</f>
        <v>0</v>
      </c>
      <c r="C45" s="166">
        <f>Spieltag!A32</f>
        <v>11</v>
      </c>
      <c r="D45" s="21" t="str">
        <f>Spieltag!B32</f>
        <v>Kingsley Coman (A)</v>
      </c>
      <c r="E45" s="12" t="str">
        <f>Spieltag!C32</f>
        <v>Sturm</v>
      </c>
      <c r="F45" s="13" t="s">
        <v>54</v>
      </c>
      <c r="G45" s="14"/>
      <c r="H45" s="15">
        <f t="shared" si="114"/>
        <v>0</v>
      </c>
      <c r="I45" s="14"/>
      <c r="J45" s="15">
        <f t="shared" si="115"/>
        <v>0</v>
      </c>
      <c r="K45" s="14"/>
      <c r="L45" s="15">
        <f t="shared" si="116"/>
        <v>0</v>
      </c>
      <c r="M45" s="14"/>
      <c r="N45" s="15">
        <f t="shared" si="117"/>
        <v>0</v>
      </c>
      <c r="O45" s="16">
        <f t="shared" si="4"/>
        <v>20</v>
      </c>
      <c r="P45" s="16">
        <f t="shared" si="5"/>
        <v>30</v>
      </c>
      <c r="Q45" s="16">
        <f t="shared" si="109"/>
        <v>-10</v>
      </c>
      <c r="R45" s="14"/>
      <c r="S45" s="15">
        <f t="shared" si="118"/>
        <v>0</v>
      </c>
      <c r="T45" s="14"/>
      <c r="U45" s="15">
        <f t="shared" si="119"/>
        <v>0</v>
      </c>
      <c r="V45" s="16">
        <f t="shared" si="120"/>
        <v>0</v>
      </c>
      <c r="W45" s="17">
        <f t="shared" si="121"/>
        <v>0</v>
      </c>
    </row>
    <row r="46" spans="1:23" ht="10.5" hidden="1" customHeight="1" x14ac:dyDescent="0.2">
      <c r="A46" s="11"/>
      <c r="B46" s="163">
        <f>COUNTA(Spieltag!K33:AA33)</f>
        <v>0</v>
      </c>
      <c r="C46" s="166">
        <f>Spieltag!A33</f>
        <v>13</v>
      </c>
      <c r="D46" s="21" t="str">
        <f>Spieltag!B33</f>
        <v>Eric-Maxim Choupo-Moting</v>
      </c>
      <c r="E46" s="12" t="str">
        <f>Spieltag!C33</f>
        <v>Sturm</v>
      </c>
      <c r="F46" s="13" t="s">
        <v>54</v>
      </c>
      <c r="G46" s="14"/>
      <c r="H46" s="15">
        <f t="shared" si="114"/>
        <v>0</v>
      </c>
      <c r="I46" s="14"/>
      <c r="J46" s="15">
        <f t="shared" si="115"/>
        <v>0</v>
      </c>
      <c r="K46" s="14"/>
      <c r="L46" s="15">
        <f t="shared" si="116"/>
        <v>0</v>
      </c>
      <c r="M46" s="14"/>
      <c r="N46" s="15">
        <f t="shared" si="117"/>
        <v>0</v>
      </c>
      <c r="O46" s="16">
        <f t="shared" si="4"/>
        <v>20</v>
      </c>
      <c r="P46" s="16">
        <f t="shared" si="5"/>
        <v>30</v>
      </c>
      <c r="Q46" s="16">
        <f t="shared" si="109"/>
        <v>-10</v>
      </c>
      <c r="R46" s="14"/>
      <c r="S46" s="15">
        <f t="shared" si="118"/>
        <v>0</v>
      </c>
      <c r="T46" s="14"/>
      <c r="U46" s="15">
        <f t="shared" si="119"/>
        <v>0</v>
      </c>
      <c r="V46" s="16">
        <f t="shared" si="120"/>
        <v>0</v>
      </c>
      <c r="W46" s="17">
        <f t="shared" si="121"/>
        <v>0</v>
      </c>
    </row>
    <row r="47" spans="1:23" ht="10.5" hidden="1" customHeight="1" x14ac:dyDescent="0.2">
      <c r="A47" s="11"/>
      <c r="B47" s="163">
        <f>COUNTA(Spieltag!K34:AA34)</f>
        <v>0</v>
      </c>
      <c r="C47" s="166">
        <f>Spieltag!A34</f>
        <v>25</v>
      </c>
      <c r="D47" s="21" t="str">
        <f>Spieltag!B34</f>
        <v>Thomas Müller</v>
      </c>
      <c r="E47" s="12" t="str">
        <f>Spieltag!C34</f>
        <v>Sturm</v>
      </c>
      <c r="F47" s="13" t="s">
        <v>54</v>
      </c>
      <c r="G47" s="14"/>
      <c r="H47" s="15">
        <f t="shared" si="114"/>
        <v>0</v>
      </c>
      <c r="I47" s="14"/>
      <c r="J47" s="15">
        <f t="shared" si="115"/>
        <v>0</v>
      </c>
      <c r="K47" s="14"/>
      <c r="L47" s="15">
        <f t="shared" si="116"/>
        <v>0</v>
      </c>
      <c r="M47" s="14"/>
      <c r="N47" s="15">
        <f t="shared" si="117"/>
        <v>0</v>
      </c>
      <c r="O47" s="16">
        <f t="shared" si="4"/>
        <v>20</v>
      </c>
      <c r="P47" s="16">
        <f t="shared" si="5"/>
        <v>30</v>
      </c>
      <c r="Q47" s="16">
        <f t="shared" si="109"/>
        <v>-10</v>
      </c>
      <c r="R47" s="14"/>
      <c r="S47" s="15">
        <f t="shared" si="118"/>
        <v>0</v>
      </c>
      <c r="T47" s="14"/>
      <c r="U47" s="15">
        <f t="shared" si="119"/>
        <v>0</v>
      </c>
      <c r="V47" s="16">
        <f t="shared" si="120"/>
        <v>0</v>
      </c>
      <c r="W47" s="17">
        <f t="shared" si="121"/>
        <v>0</v>
      </c>
    </row>
    <row r="48" spans="1:23" ht="10.5" hidden="1" customHeight="1" x14ac:dyDescent="0.2">
      <c r="A48" s="11"/>
      <c r="B48" s="163">
        <f>COUNTA(Spieltag!K35:AA35)</f>
        <v>0</v>
      </c>
      <c r="C48" s="166">
        <f>Spieltag!A35</f>
        <v>39</v>
      </c>
      <c r="D48" s="21" t="str">
        <f>Spieltag!B35</f>
        <v>Mathys Tel (A)</v>
      </c>
      <c r="E48" s="12" t="str">
        <f>Spieltag!C35</f>
        <v>Sturm</v>
      </c>
      <c r="F48" s="13" t="s">
        <v>54</v>
      </c>
      <c r="G48" s="14"/>
      <c r="H48" s="15">
        <f t="shared" si="114"/>
        <v>0</v>
      </c>
      <c r="I48" s="14"/>
      <c r="J48" s="15">
        <f t="shared" si="115"/>
        <v>0</v>
      </c>
      <c r="K48" s="14"/>
      <c r="L48" s="15">
        <f t="shared" si="116"/>
        <v>0</v>
      </c>
      <c r="M48" s="14"/>
      <c r="N48" s="15">
        <f t="shared" si="117"/>
        <v>0</v>
      </c>
      <c r="O48" s="16">
        <f t="shared" si="4"/>
        <v>20</v>
      </c>
      <c r="P48" s="16">
        <f t="shared" si="5"/>
        <v>30</v>
      </c>
      <c r="Q48" s="16">
        <f t="shared" si="109"/>
        <v>-10</v>
      </c>
      <c r="R48" s="14"/>
      <c r="S48" s="15">
        <f t="shared" si="118"/>
        <v>0</v>
      </c>
      <c r="T48" s="14"/>
      <c r="U48" s="15">
        <f t="shared" si="119"/>
        <v>0</v>
      </c>
      <c r="V48" s="16">
        <f t="shared" si="120"/>
        <v>0</v>
      </c>
      <c r="W48" s="17">
        <f t="shared" si="121"/>
        <v>0</v>
      </c>
    </row>
    <row r="49" spans="1:23" s="144" customFormat="1" ht="17.25" thickBot="1" x14ac:dyDescent="0.25">
      <c r="A49" s="142"/>
      <c r="B49" s="143">
        <f>SUM(B50:B85)</f>
        <v>18</v>
      </c>
      <c r="C49" s="158"/>
      <c r="D49" s="234" t="s">
        <v>32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5"/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1</v>
      </c>
      <c r="D50" s="21" t="str">
        <f>Spieltag!B37</f>
        <v>Gregor Kobel (A)</v>
      </c>
      <c r="E50" s="12" t="str">
        <f>Spieltag!C37</f>
        <v>Torwart</v>
      </c>
      <c r="F50" s="13" t="s">
        <v>57</v>
      </c>
      <c r="G50" s="14"/>
      <c r="H50" s="15">
        <f>IF(G50="x",10,0)</f>
        <v>0</v>
      </c>
      <c r="I50" s="14"/>
      <c r="J50" s="15">
        <f>IF((I50="x"),-10,0)</f>
        <v>0</v>
      </c>
      <c r="K50" s="14"/>
      <c r="L50" s="15">
        <f>IF((K50="x"),-20,0)</f>
        <v>0</v>
      </c>
      <c r="M50" s="14"/>
      <c r="N50" s="15">
        <f>IF((M50="x"),-30,0)</f>
        <v>0</v>
      </c>
      <c r="O50" s="16">
        <f>IF(AND($P$5&gt;$Q$5),20,IF($P$5=$Q$5,10,0))</f>
        <v>10</v>
      </c>
      <c r="P50" s="16">
        <f>IF(($P$5&lt;&gt;0),$P$5*10,-5)</f>
        <v>-5</v>
      </c>
      <c r="Q50" s="16">
        <f>IF(($Q$5&lt;&gt;0),$Q$5*-10,20)</f>
        <v>20</v>
      </c>
      <c r="R50" s="14"/>
      <c r="S50" s="15">
        <f>R50*20</f>
        <v>0</v>
      </c>
      <c r="T50" s="14"/>
      <c r="U50" s="15">
        <f>T50*-15</f>
        <v>0</v>
      </c>
      <c r="V50" s="16">
        <f>IF(AND(R50=2),10,IF(R50=3,30,IF(R50=4,50,IF(R50=5,70,0))))</f>
        <v>0</v>
      </c>
      <c r="W50" s="17">
        <f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31</v>
      </c>
      <c r="D51" s="21" t="str">
        <f>Spieltag!B38</f>
        <v>Silas Ostrzinski</v>
      </c>
      <c r="E51" s="12" t="str">
        <f>Spieltag!C38</f>
        <v>Torwart</v>
      </c>
      <c r="F51" s="13" t="s">
        <v>57</v>
      </c>
      <c r="G51" s="14"/>
      <c r="H51" s="15">
        <f t="shared" ref="H51" si="122">IF(G51="x",10,0)</f>
        <v>0</v>
      </c>
      <c r="I51" s="14"/>
      <c r="J51" s="15">
        <f t="shared" ref="J51" si="123">IF((I51="x"),-10,0)</f>
        <v>0</v>
      </c>
      <c r="K51" s="14"/>
      <c r="L51" s="15">
        <f t="shared" ref="L51" si="124">IF((K51="x"),-20,0)</f>
        <v>0</v>
      </c>
      <c r="M51" s="14"/>
      <c r="N51" s="15">
        <f t="shared" ref="N51" si="125">IF((M51="x"),-30,0)</f>
        <v>0</v>
      </c>
      <c r="O51" s="16">
        <f t="shared" ref="O51:O53" si="126">IF(AND($P$5&gt;$Q$5),20,IF($P$5=$Q$5,10,0))</f>
        <v>10</v>
      </c>
      <c r="P51" s="16">
        <f t="shared" ref="P51:P53" si="127">IF(($P$5&lt;&gt;0),$P$5*10,-5)</f>
        <v>-5</v>
      </c>
      <c r="Q51" s="16">
        <f t="shared" ref="Q51:Q53" si="128">IF(($Q$5&lt;&gt;0),$Q$5*-10,20)</f>
        <v>20</v>
      </c>
      <c r="R51" s="14"/>
      <c r="S51" s="15">
        <f t="shared" ref="S51" si="129">R51*20</f>
        <v>0</v>
      </c>
      <c r="T51" s="14"/>
      <c r="U51" s="15">
        <f t="shared" ref="U51" si="130">T51*-15</f>
        <v>0</v>
      </c>
      <c r="V51" s="16">
        <f t="shared" ref="V51" si="131">IF(AND(R51=2),10,IF(R51=3,30,IF(R51=4,50,IF(R51=5,70,0))))</f>
        <v>0</v>
      </c>
      <c r="W51" s="17">
        <f t="shared" ref="W51" si="132">IF(G51="x",H51+J51+L51+N51+O51+P51+Q51+S51+U51+V51,0)</f>
        <v>0</v>
      </c>
    </row>
    <row r="52" spans="1:23" ht="10.5" hidden="1" customHeight="1" x14ac:dyDescent="0.2">
      <c r="A52" s="11"/>
      <c r="B52" s="149">
        <f>COUNTA(Spieltag!K39:AA39)</f>
        <v>0</v>
      </c>
      <c r="C52" s="166">
        <f>Spieltag!A39</f>
        <v>33</v>
      </c>
      <c r="D52" s="21" t="str">
        <f>Spieltag!B39</f>
        <v>Alexander Meyer</v>
      </c>
      <c r="E52" s="12" t="str">
        <f>Spieltag!C39</f>
        <v>Torwart</v>
      </c>
      <c r="F52" s="13" t="s">
        <v>57</v>
      </c>
      <c r="G52" s="14"/>
      <c r="H52" s="15">
        <f t="shared" ref="H52" si="133">IF(G52="x",10,0)</f>
        <v>0</v>
      </c>
      <c r="I52" s="14"/>
      <c r="J52" s="15">
        <f t="shared" ref="J52" si="134">IF((I52="x"),-10,0)</f>
        <v>0</v>
      </c>
      <c r="K52" s="14"/>
      <c r="L52" s="15">
        <f t="shared" ref="L52" si="135">IF((K52="x"),-20,0)</f>
        <v>0</v>
      </c>
      <c r="M52" s="14"/>
      <c r="N52" s="15">
        <f t="shared" ref="N52" si="136">IF((M52="x"),-30,0)</f>
        <v>0</v>
      </c>
      <c r="O52" s="16">
        <f t="shared" si="126"/>
        <v>10</v>
      </c>
      <c r="P52" s="16">
        <f t="shared" si="127"/>
        <v>-5</v>
      </c>
      <c r="Q52" s="16">
        <f t="shared" si="128"/>
        <v>20</v>
      </c>
      <c r="R52" s="14"/>
      <c r="S52" s="15">
        <f t="shared" ref="S52" si="137">R52*20</f>
        <v>0</v>
      </c>
      <c r="T52" s="14"/>
      <c r="U52" s="15">
        <f t="shared" ref="U52" si="138">T52*-15</f>
        <v>0</v>
      </c>
      <c r="V52" s="16">
        <f t="shared" ref="V52" si="139">IF(AND(R52=2),10,IF(R52=3,30,IF(R52=4,50,IF(R52=5,70,0))))</f>
        <v>0</v>
      </c>
      <c r="W52" s="17">
        <f t="shared" ref="W52" si="140">IF(G52="x",H52+J52+L52+N52+O52+P52+Q52+S52+U52+V52,0)</f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35</v>
      </c>
      <c r="D53" s="21" t="str">
        <f>Spieltag!B40</f>
        <v>Marcel Lotka</v>
      </c>
      <c r="E53" s="12" t="str">
        <f>Spieltag!C40</f>
        <v>Torwart</v>
      </c>
      <c r="F53" s="13" t="s">
        <v>57</v>
      </c>
      <c r="G53" s="14"/>
      <c r="H53" s="15">
        <f t="shared" ref="H53" si="141">IF(G53="x",10,0)</f>
        <v>0</v>
      </c>
      <c r="I53" s="14"/>
      <c r="J53" s="15">
        <f t="shared" ref="J53" si="142">IF((I53="x"),-10,0)</f>
        <v>0</v>
      </c>
      <c r="K53" s="14"/>
      <c r="L53" s="15">
        <f t="shared" ref="L53" si="143">IF((K53="x"),-20,0)</f>
        <v>0</v>
      </c>
      <c r="M53" s="14"/>
      <c r="N53" s="15">
        <f t="shared" ref="N53" si="144">IF((M53="x"),-30,0)</f>
        <v>0</v>
      </c>
      <c r="O53" s="16">
        <f t="shared" si="126"/>
        <v>10</v>
      </c>
      <c r="P53" s="16">
        <f t="shared" si="127"/>
        <v>-5</v>
      </c>
      <c r="Q53" s="16">
        <f t="shared" si="128"/>
        <v>20</v>
      </c>
      <c r="R53" s="14"/>
      <c r="S53" s="15">
        <f t="shared" ref="S53" si="145">R53*20</f>
        <v>0</v>
      </c>
      <c r="T53" s="14"/>
      <c r="U53" s="15">
        <f t="shared" ref="U53" si="146">T53*-15</f>
        <v>0</v>
      </c>
      <c r="V53" s="16">
        <f t="shared" ref="V53" si="147">IF(AND(R53=2),10,IF(R53=3,30,IF(R53=4,50,IF(R53=5,70,0))))</f>
        <v>0</v>
      </c>
      <c r="W53" s="17">
        <f t="shared" ref="W53" si="148">IF(G53="x",H53+J53+L53+N53+O53+P53+Q53+S53+U53+V53,0)</f>
        <v>0</v>
      </c>
    </row>
    <row r="54" spans="1:23" ht="10.5" hidden="1" customHeight="1" x14ac:dyDescent="0.2">
      <c r="A54" s="11"/>
      <c r="B54" s="149">
        <f>COUNTA(Spieltag!K41:AA41)</f>
        <v>0</v>
      </c>
      <c r="C54" s="166">
        <f>Spieltag!A41</f>
        <v>2</v>
      </c>
      <c r="D54" s="21" t="str">
        <f>Spieltag!B41</f>
        <v>Mateu Morey (A)</v>
      </c>
      <c r="E54" s="12" t="str">
        <f>Spieltag!C41</f>
        <v>Abwehr</v>
      </c>
      <c r="F54" s="13" t="s">
        <v>57</v>
      </c>
      <c r="G54" s="14"/>
      <c r="H54" s="15">
        <f t="shared" ref="H54" si="149">IF(G54="x",10,0)</f>
        <v>0</v>
      </c>
      <c r="I54" s="14"/>
      <c r="J54" s="15">
        <f t="shared" ref="J54" si="150">IF((I54="x"),-10,0)</f>
        <v>0</v>
      </c>
      <c r="K54" s="14"/>
      <c r="L54" s="15">
        <f t="shared" ref="L54" si="151">IF((K54="x"),-20,0)</f>
        <v>0</v>
      </c>
      <c r="M54" s="14"/>
      <c r="N54" s="15">
        <f t="shared" ref="N54" si="152">IF((M54="x"),-30,0)</f>
        <v>0</v>
      </c>
      <c r="O54" s="16">
        <f t="shared" ref="O54:O66" si="153">IF(AND($P$5&gt;$Q$5),20,IF($P$5=$Q$5,10,0))</f>
        <v>10</v>
      </c>
      <c r="P54" s="16">
        <f t="shared" ref="P54:P66" si="154">IF(($P$5&lt;&gt;0),$P$5*10,-5)</f>
        <v>-5</v>
      </c>
      <c r="Q54" s="16">
        <f t="shared" ref="Q54:Q66" si="155">IF(($Q$5&lt;&gt;0),$Q$5*-10,15)</f>
        <v>15</v>
      </c>
      <c r="R54" s="14"/>
      <c r="S54" s="15">
        <f t="shared" ref="S54" si="156">R54*15</f>
        <v>0</v>
      </c>
      <c r="T54" s="14"/>
      <c r="U54" s="15">
        <f t="shared" ref="U54" si="157">T54*-15</f>
        <v>0</v>
      </c>
      <c r="V54" s="16">
        <f t="shared" ref="V54" si="158">IF(AND(R54=2),10,IF(R54=3,30,IF(R54=4,50,IF(R54=5,70,0))))</f>
        <v>0</v>
      </c>
      <c r="W54" s="17">
        <f t="shared" ref="W54" si="159">IF(G54="x",H54+J54+L54+N54+O54+P54+Q54+S54+U54+V54,0)</f>
        <v>0</v>
      </c>
    </row>
    <row r="55" spans="1:23" ht="10.5" customHeight="1" x14ac:dyDescent="0.2">
      <c r="A55" s="11"/>
      <c r="B55" s="149">
        <f>COUNTA(Spieltag!K42:AA42)</f>
        <v>6</v>
      </c>
      <c r="C55" s="166">
        <f>Spieltag!A42</f>
        <v>4</v>
      </c>
      <c r="D55" s="21" t="str">
        <f>Spieltag!B42</f>
        <v>Nico Schlotterbeck</v>
      </c>
      <c r="E55" s="12" t="str">
        <f>Spieltag!C42</f>
        <v>Abwehr</v>
      </c>
      <c r="F55" s="13" t="s">
        <v>57</v>
      </c>
      <c r="G55" s="14" t="s">
        <v>675</v>
      </c>
      <c r="H55" s="15">
        <f t="shared" ref="H55:H65" si="160">IF(G55="x",10,0)</f>
        <v>10</v>
      </c>
      <c r="I55" s="14"/>
      <c r="J55" s="15">
        <f t="shared" ref="J55:J65" si="161">IF((I55="x"),-10,0)</f>
        <v>0</v>
      </c>
      <c r="K55" s="14"/>
      <c r="L55" s="15">
        <f t="shared" ref="L55:L65" si="162">IF((K55="x"),-20,0)</f>
        <v>0</v>
      </c>
      <c r="M55" s="14"/>
      <c r="N55" s="15">
        <f t="shared" ref="N55:N65" si="163">IF((M55="x"),-30,0)</f>
        <v>0</v>
      </c>
      <c r="O55" s="16">
        <f t="shared" si="153"/>
        <v>10</v>
      </c>
      <c r="P55" s="16">
        <f t="shared" si="154"/>
        <v>-5</v>
      </c>
      <c r="Q55" s="16">
        <f t="shared" si="155"/>
        <v>15</v>
      </c>
      <c r="R55" s="14"/>
      <c r="S55" s="15">
        <f t="shared" ref="S55:S65" si="164">R55*15</f>
        <v>0</v>
      </c>
      <c r="T55" s="14"/>
      <c r="U55" s="15">
        <f t="shared" ref="U55:U65" si="165">T55*-15</f>
        <v>0</v>
      </c>
      <c r="V55" s="16">
        <f t="shared" ref="V55:V65" si="166">IF(AND(R55=2),10,IF(R55=3,30,IF(R55=4,50,IF(R55=5,70,0))))</f>
        <v>0</v>
      </c>
      <c r="W55" s="17">
        <f t="shared" ref="W55:W65" si="167">IF(G55="x",H55+J55+L55+N55+O55+P55+Q55+S55+U55+V55,0)</f>
        <v>30</v>
      </c>
    </row>
    <row r="56" spans="1:23" ht="10.5" hidden="1" customHeight="1" x14ac:dyDescent="0.2">
      <c r="A56" s="11"/>
      <c r="B56" s="149">
        <f>COUNTA(Spieltag!K43:AA43)</f>
        <v>0</v>
      </c>
      <c r="C56" s="166">
        <f>Spieltag!A43</f>
        <v>5</v>
      </c>
      <c r="D56" s="21" t="str">
        <f>Spieltag!B43</f>
        <v>Ramy Bensebaini (A)</v>
      </c>
      <c r="E56" s="12" t="str">
        <f>Spieltag!C43</f>
        <v>Abwehr</v>
      </c>
      <c r="F56" s="13" t="s">
        <v>57</v>
      </c>
      <c r="G56" s="14"/>
      <c r="H56" s="15">
        <f t="shared" si="160"/>
        <v>0</v>
      </c>
      <c r="I56" s="14"/>
      <c r="J56" s="15">
        <f t="shared" si="161"/>
        <v>0</v>
      </c>
      <c r="K56" s="14"/>
      <c r="L56" s="15">
        <f t="shared" si="162"/>
        <v>0</v>
      </c>
      <c r="M56" s="14"/>
      <c r="N56" s="15">
        <f t="shared" si="163"/>
        <v>0</v>
      </c>
      <c r="O56" s="16">
        <f t="shared" si="153"/>
        <v>10</v>
      </c>
      <c r="P56" s="16">
        <f t="shared" si="154"/>
        <v>-5</v>
      </c>
      <c r="Q56" s="16">
        <f t="shared" si="155"/>
        <v>15</v>
      </c>
      <c r="R56" s="14"/>
      <c r="S56" s="15">
        <f t="shared" si="164"/>
        <v>0</v>
      </c>
      <c r="T56" s="14"/>
      <c r="U56" s="15">
        <f t="shared" si="165"/>
        <v>0</v>
      </c>
      <c r="V56" s="16">
        <f t="shared" si="166"/>
        <v>0</v>
      </c>
      <c r="W56" s="17">
        <f t="shared" si="167"/>
        <v>0</v>
      </c>
    </row>
    <row r="57" spans="1:23" ht="10.5" customHeight="1" x14ac:dyDescent="0.2">
      <c r="A57" s="11"/>
      <c r="B57" s="149">
        <f>COUNTA(Spieltag!K44:AA44)</f>
        <v>2</v>
      </c>
      <c r="C57" s="166">
        <f>Spieltag!A44</f>
        <v>15</v>
      </c>
      <c r="D57" s="21" t="str">
        <f>Spieltag!B44</f>
        <v>Mats Hummels</v>
      </c>
      <c r="E57" s="12" t="str">
        <f>Spieltag!C44</f>
        <v>Abwehr</v>
      </c>
      <c r="F57" s="13" t="s">
        <v>57</v>
      </c>
      <c r="G57" s="14" t="s">
        <v>59</v>
      </c>
      <c r="H57" s="15">
        <f t="shared" si="160"/>
        <v>0</v>
      </c>
      <c r="I57" s="14"/>
      <c r="J57" s="15">
        <f t="shared" si="161"/>
        <v>0</v>
      </c>
      <c r="K57" s="14"/>
      <c r="L57" s="15">
        <f t="shared" si="162"/>
        <v>0</v>
      </c>
      <c r="M57" s="14"/>
      <c r="N57" s="15">
        <f t="shared" si="163"/>
        <v>0</v>
      </c>
      <c r="O57" s="16">
        <f t="shared" si="153"/>
        <v>10</v>
      </c>
      <c r="P57" s="16">
        <f t="shared" si="154"/>
        <v>-5</v>
      </c>
      <c r="Q57" s="16">
        <f t="shared" si="155"/>
        <v>15</v>
      </c>
      <c r="R57" s="14"/>
      <c r="S57" s="15">
        <f t="shared" si="164"/>
        <v>0</v>
      </c>
      <c r="T57" s="14"/>
      <c r="U57" s="15">
        <f t="shared" si="165"/>
        <v>0</v>
      </c>
      <c r="V57" s="16">
        <f t="shared" si="166"/>
        <v>0</v>
      </c>
      <c r="W57" s="17">
        <f t="shared" si="167"/>
        <v>0</v>
      </c>
    </row>
    <row r="58" spans="1:23" ht="10.5" hidden="1" customHeight="1" x14ac:dyDescent="0.2">
      <c r="A58" s="11"/>
      <c r="B58" s="149">
        <f>COUNTA(Spieltag!K45:AA45)</f>
        <v>0</v>
      </c>
      <c r="C58" s="166">
        <f>Spieltag!A45</f>
        <v>17</v>
      </c>
      <c r="D58" s="21" t="str">
        <f>Spieltag!B45</f>
        <v>Marius Wolf</v>
      </c>
      <c r="E58" s="12" t="str">
        <f>Spieltag!C45</f>
        <v>Abwehr</v>
      </c>
      <c r="F58" s="13" t="s">
        <v>57</v>
      </c>
      <c r="G58" s="14"/>
      <c r="H58" s="15">
        <f t="shared" ref="H58:H59" si="168">IF(G58="x",10,0)</f>
        <v>0</v>
      </c>
      <c r="I58" s="14"/>
      <c r="J58" s="15">
        <f t="shared" ref="J58:J59" si="169">IF((I58="x"),-10,0)</f>
        <v>0</v>
      </c>
      <c r="K58" s="14"/>
      <c r="L58" s="15">
        <f t="shared" ref="L58:L59" si="170">IF((K58="x"),-20,0)</f>
        <v>0</v>
      </c>
      <c r="M58" s="14"/>
      <c r="N58" s="15">
        <f t="shared" ref="N58:N59" si="171">IF((M58="x"),-30,0)</f>
        <v>0</v>
      </c>
      <c r="O58" s="16">
        <f t="shared" si="153"/>
        <v>10</v>
      </c>
      <c r="P58" s="16">
        <f t="shared" si="154"/>
        <v>-5</v>
      </c>
      <c r="Q58" s="16">
        <f t="shared" si="155"/>
        <v>15</v>
      </c>
      <c r="R58" s="14"/>
      <c r="S58" s="15">
        <f t="shared" ref="S58:S59" si="172">R58*15</f>
        <v>0</v>
      </c>
      <c r="T58" s="14"/>
      <c r="U58" s="15">
        <f t="shared" ref="U58:U59" si="173">T58*-15</f>
        <v>0</v>
      </c>
      <c r="V58" s="16">
        <f t="shared" ref="V58:V59" si="174">IF(AND(R58=2),10,IF(R58=3,30,IF(R58=4,50,IF(R58=5,70,0))))</f>
        <v>0</v>
      </c>
      <c r="W58" s="17">
        <f t="shared" ref="W58:W59" si="175">IF(G58="x",H58+J58+L58+N58+O58+P58+Q58+S58+U58+V58,0)</f>
        <v>0</v>
      </c>
    </row>
    <row r="59" spans="1:23" ht="10.5" hidden="1" customHeight="1" x14ac:dyDescent="0.2">
      <c r="A59" s="11"/>
      <c r="B59" s="149">
        <f>COUNTA(Spieltag!K46:AA46)</f>
        <v>0</v>
      </c>
      <c r="C59" s="166">
        <f>Spieltag!A46</f>
        <v>22</v>
      </c>
      <c r="D59" s="21" t="str">
        <f>Spieltag!B46</f>
        <v>Ian Maatsen (A)</v>
      </c>
      <c r="E59" s="12" t="str">
        <f>Spieltag!C46</f>
        <v>Abwehr</v>
      </c>
      <c r="F59" s="13" t="s">
        <v>57</v>
      </c>
      <c r="G59" s="14"/>
      <c r="H59" s="15">
        <f t="shared" si="168"/>
        <v>0</v>
      </c>
      <c r="I59" s="14"/>
      <c r="J59" s="15">
        <f t="shared" si="169"/>
        <v>0</v>
      </c>
      <c r="K59" s="14"/>
      <c r="L59" s="15">
        <f t="shared" si="170"/>
        <v>0</v>
      </c>
      <c r="M59" s="14"/>
      <c r="N59" s="15">
        <f t="shared" si="171"/>
        <v>0</v>
      </c>
      <c r="O59" s="16">
        <f t="shared" si="153"/>
        <v>10</v>
      </c>
      <c r="P59" s="16">
        <f t="shared" si="154"/>
        <v>-5</v>
      </c>
      <c r="Q59" s="16">
        <f t="shared" si="155"/>
        <v>15</v>
      </c>
      <c r="R59" s="14"/>
      <c r="S59" s="15">
        <f t="shared" si="172"/>
        <v>0</v>
      </c>
      <c r="T59" s="14"/>
      <c r="U59" s="15">
        <f t="shared" si="173"/>
        <v>0</v>
      </c>
      <c r="V59" s="16">
        <f t="shared" si="174"/>
        <v>0</v>
      </c>
      <c r="W59" s="17">
        <f t="shared" si="175"/>
        <v>0</v>
      </c>
    </row>
    <row r="60" spans="1:23" ht="10.5" hidden="1" customHeight="1" x14ac:dyDescent="0.2">
      <c r="A60" s="11"/>
      <c r="B60" s="149">
        <f>COUNTA(Spieltag!K47:AA47)</f>
        <v>0</v>
      </c>
      <c r="C60" s="166">
        <f>Spieltag!A47</f>
        <v>24</v>
      </c>
      <c r="D60" s="21" t="str">
        <f>Spieltag!B47</f>
        <v>Thomas Meunier (A)</v>
      </c>
      <c r="E60" s="12" t="str">
        <f>Spieltag!C47</f>
        <v>Abwehr</v>
      </c>
      <c r="F60" s="13" t="s">
        <v>57</v>
      </c>
      <c r="G60" s="14"/>
      <c r="H60" s="15">
        <f t="shared" si="160"/>
        <v>0</v>
      </c>
      <c r="I60" s="14"/>
      <c r="J60" s="15">
        <f t="shared" si="161"/>
        <v>0</v>
      </c>
      <c r="K60" s="14"/>
      <c r="L60" s="15">
        <f t="shared" si="162"/>
        <v>0</v>
      </c>
      <c r="M60" s="14"/>
      <c r="N60" s="15">
        <f t="shared" si="163"/>
        <v>0</v>
      </c>
      <c r="O60" s="16">
        <f t="shared" si="153"/>
        <v>10</v>
      </c>
      <c r="P60" s="16">
        <f t="shared" si="154"/>
        <v>-5</v>
      </c>
      <c r="Q60" s="16">
        <f t="shared" si="155"/>
        <v>15</v>
      </c>
      <c r="R60" s="14"/>
      <c r="S60" s="15">
        <f t="shared" si="164"/>
        <v>0</v>
      </c>
      <c r="T60" s="14"/>
      <c r="U60" s="15">
        <f t="shared" si="165"/>
        <v>0</v>
      </c>
      <c r="V60" s="16">
        <f t="shared" si="166"/>
        <v>0</v>
      </c>
      <c r="W60" s="17">
        <f t="shared" si="167"/>
        <v>0</v>
      </c>
    </row>
    <row r="61" spans="1:23" ht="10.5" customHeight="1" x14ac:dyDescent="0.2">
      <c r="A61" s="11"/>
      <c r="B61" s="149">
        <f>COUNTA(Spieltag!K48:AA48)</f>
        <v>3</v>
      </c>
      <c r="C61" s="166">
        <f>Spieltag!A48</f>
        <v>25</v>
      </c>
      <c r="D61" s="21" t="str">
        <f>Spieltag!B48</f>
        <v>Niklas Süle</v>
      </c>
      <c r="E61" s="12" t="str">
        <f>Spieltag!C48</f>
        <v>Abwehr</v>
      </c>
      <c r="F61" s="13" t="s">
        <v>57</v>
      </c>
      <c r="G61" s="14" t="s">
        <v>675</v>
      </c>
      <c r="H61" s="15">
        <f t="shared" si="160"/>
        <v>10</v>
      </c>
      <c r="I61" s="14"/>
      <c r="J61" s="15">
        <f t="shared" si="161"/>
        <v>0</v>
      </c>
      <c r="K61" s="14"/>
      <c r="L61" s="15">
        <f t="shared" si="162"/>
        <v>0</v>
      </c>
      <c r="M61" s="14"/>
      <c r="N61" s="15">
        <f t="shared" si="163"/>
        <v>0</v>
      </c>
      <c r="O61" s="16">
        <f t="shared" si="153"/>
        <v>10</v>
      </c>
      <c r="P61" s="16">
        <f t="shared" si="154"/>
        <v>-5</v>
      </c>
      <c r="Q61" s="16">
        <f t="shared" si="155"/>
        <v>15</v>
      </c>
      <c r="R61" s="14"/>
      <c r="S61" s="15">
        <f t="shared" si="164"/>
        <v>0</v>
      </c>
      <c r="T61" s="14"/>
      <c r="U61" s="15">
        <f t="shared" si="165"/>
        <v>0</v>
      </c>
      <c r="V61" s="16">
        <f t="shared" si="166"/>
        <v>0</v>
      </c>
      <c r="W61" s="17">
        <f t="shared" si="167"/>
        <v>30</v>
      </c>
    </row>
    <row r="62" spans="1:23" ht="10.5" hidden="1" customHeight="1" x14ac:dyDescent="0.2">
      <c r="A62" s="11"/>
      <c r="B62" s="149">
        <f>COUNTA(Spieltag!K49:AA49)</f>
        <v>0</v>
      </c>
      <c r="C62" s="166">
        <f>Spieltag!A49</f>
        <v>26</v>
      </c>
      <c r="D62" s="21" t="str">
        <f>Spieltag!B49</f>
        <v>Julian Ryerson (A)</v>
      </c>
      <c r="E62" s="12" t="str">
        <f>Spieltag!C49</f>
        <v>Abwehr</v>
      </c>
      <c r="F62" s="13" t="s">
        <v>57</v>
      </c>
      <c r="G62" s="14"/>
      <c r="H62" s="15">
        <f t="shared" si="160"/>
        <v>0</v>
      </c>
      <c r="I62" s="14"/>
      <c r="J62" s="15">
        <f t="shared" si="161"/>
        <v>0</v>
      </c>
      <c r="K62" s="14"/>
      <c r="L62" s="15">
        <f t="shared" si="162"/>
        <v>0</v>
      </c>
      <c r="M62" s="14"/>
      <c r="N62" s="15">
        <f t="shared" si="163"/>
        <v>0</v>
      </c>
      <c r="O62" s="16">
        <f t="shared" si="153"/>
        <v>10</v>
      </c>
      <c r="P62" s="16">
        <f t="shared" si="154"/>
        <v>-5</v>
      </c>
      <c r="Q62" s="16">
        <f t="shared" si="155"/>
        <v>15</v>
      </c>
      <c r="R62" s="14"/>
      <c r="S62" s="15">
        <f t="shared" si="164"/>
        <v>0</v>
      </c>
      <c r="T62" s="14"/>
      <c r="U62" s="15">
        <f t="shared" si="165"/>
        <v>0</v>
      </c>
      <c r="V62" s="16">
        <f t="shared" si="166"/>
        <v>0</v>
      </c>
      <c r="W62" s="17">
        <f t="shared" si="167"/>
        <v>0</v>
      </c>
    </row>
    <row r="63" spans="1:23" ht="10.5" hidden="1" customHeight="1" x14ac:dyDescent="0.2">
      <c r="A63" s="11"/>
      <c r="B63" s="149">
        <f>COUNTA(Spieltag!K50:AA50)</f>
        <v>0</v>
      </c>
      <c r="C63" s="166">
        <f>Spieltag!A50</f>
        <v>42</v>
      </c>
      <c r="D63" s="21" t="str">
        <f>Spieltag!B50</f>
        <v>Hendry Blank</v>
      </c>
      <c r="E63" s="12" t="str">
        <f>Spieltag!C50</f>
        <v>Abwehr</v>
      </c>
      <c r="F63" s="13" t="s">
        <v>57</v>
      </c>
      <c r="G63" s="14"/>
      <c r="H63" s="15">
        <f t="shared" ref="H63" si="176">IF(G63="x",10,0)</f>
        <v>0</v>
      </c>
      <c r="I63" s="14"/>
      <c r="J63" s="15">
        <f t="shared" ref="J63" si="177">IF((I63="x"),-10,0)</f>
        <v>0</v>
      </c>
      <c r="K63" s="14"/>
      <c r="L63" s="15">
        <f t="shared" ref="L63" si="178">IF((K63="x"),-20,0)</f>
        <v>0</v>
      </c>
      <c r="M63" s="14"/>
      <c r="N63" s="15">
        <f t="shared" ref="N63" si="179">IF((M63="x"),-30,0)</f>
        <v>0</v>
      </c>
      <c r="O63" s="16">
        <f t="shared" si="153"/>
        <v>10</v>
      </c>
      <c r="P63" s="16">
        <f t="shared" si="154"/>
        <v>-5</v>
      </c>
      <c r="Q63" s="16">
        <f t="shared" si="155"/>
        <v>15</v>
      </c>
      <c r="R63" s="14"/>
      <c r="S63" s="15">
        <f t="shared" ref="S63" si="180">R63*15</f>
        <v>0</v>
      </c>
      <c r="T63" s="14"/>
      <c r="U63" s="15">
        <f t="shared" ref="U63" si="181">T63*-15</f>
        <v>0</v>
      </c>
      <c r="V63" s="16">
        <f t="shared" ref="V63" si="182">IF(AND(R63=2),10,IF(R63=3,30,IF(R63=4,50,IF(R63=5,70,0))))</f>
        <v>0</v>
      </c>
      <c r="W63" s="17">
        <f t="shared" ref="W63" si="183">IF(G63="x",H63+J63+L63+N63+O63+P63+Q63+S63+U63+V63,0)</f>
        <v>0</v>
      </c>
    </row>
    <row r="64" spans="1:23" ht="10.5" hidden="1" customHeight="1" x14ac:dyDescent="0.2">
      <c r="A64" s="11"/>
      <c r="B64" s="149">
        <f>COUNTA(Spieltag!K51:AA51)</f>
        <v>0</v>
      </c>
      <c r="C64" s="166">
        <f>Spieltag!A51</f>
        <v>44</v>
      </c>
      <c r="D64" s="21" t="str">
        <f>Spieltag!B51</f>
        <v>Soumalia Coulibaly (A)</v>
      </c>
      <c r="E64" s="12" t="str">
        <f>Spieltag!C51</f>
        <v>Abwehr</v>
      </c>
      <c r="F64" s="13" t="s">
        <v>57</v>
      </c>
      <c r="G64" s="14"/>
      <c r="H64" s="15">
        <f t="shared" si="160"/>
        <v>0</v>
      </c>
      <c r="I64" s="14"/>
      <c r="J64" s="15">
        <f t="shared" si="161"/>
        <v>0</v>
      </c>
      <c r="K64" s="14"/>
      <c r="L64" s="15">
        <f t="shared" si="162"/>
        <v>0</v>
      </c>
      <c r="M64" s="14"/>
      <c r="N64" s="15">
        <f t="shared" si="163"/>
        <v>0</v>
      </c>
      <c r="O64" s="16">
        <f t="shared" si="153"/>
        <v>10</v>
      </c>
      <c r="P64" s="16">
        <f t="shared" si="154"/>
        <v>-5</v>
      </c>
      <c r="Q64" s="16">
        <f t="shared" si="155"/>
        <v>15</v>
      </c>
      <c r="R64" s="14"/>
      <c r="S64" s="15">
        <f t="shared" si="164"/>
        <v>0</v>
      </c>
      <c r="T64" s="14"/>
      <c r="U64" s="15">
        <f t="shared" si="165"/>
        <v>0</v>
      </c>
      <c r="V64" s="16">
        <f t="shared" si="166"/>
        <v>0</v>
      </c>
      <c r="W64" s="17">
        <f t="shared" si="167"/>
        <v>0</v>
      </c>
    </row>
    <row r="65" spans="1:23" ht="10.5" hidden="1" customHeight="1" x14ac:dyDescent="0.2">
      <c r="A65" s="11"/>
      <c r="B65" s="149">
        <f>COUNTA(Spieltag!K52:AA52)</f>
        <v>0</v>
      </c>
      <c r="C65" s="166">
        <f>Spieltag!A52</f>
        <v>45</v>
      </c>
      <c r="D65" s="21" t="str">
        <f>Spieltag!B52</f>
        <v>Guille Bueno (A)</v>
      </c>
      <c r="E65" s="12" t="str">
        <f>Spieltag!C52</f>
        <v>Abwehr</v>
      </c>
      <c r="F65" s="13" t="s">
        <v>57</v>
      </c>
      <c r="G65" s="14"/>
      <c r="H65" s="15">
        <f t="shared" si="160"/>
        <v>0</v>
      </c>
      <c r="I65" s="14"/>
      <c r="J65" s="15">
        <f t="shared" si="161"/>
        <v>0</v>
      </c>
      <c r="K65" s="14"/>
      <c r="L65" s="15">
        <f t="shared" si="162"/>
        <v>0</v>
      </c>
      <c r="M65" s="14"/>
      <c r="N65" s="15">
        <f t="shared" si="163"/>
        <v>0</v>
      </c>
      <c r="O65" s="16">
        <f t="shared" si="153"/>
        <v>10</v>
      </c>
      <c r="P65" s="16">
        <f t="shared" si="154"/>
        <v>-5</v>
      </c>
      <c r="Q65" s="16">
        <f t="shared" si="155"/>
        <v>15</v>
      </c>
      <c r="R65" s="14"/>
      <c r="S65" s="15">
        <f t="shared" si="164"/>
        <v>0</v>
      </c>
      <c r="T65" s="14"/>
      <c r="U65" s="15">
        <f t="shared" si="165"/>
        <v>0</v>
      </c>
      <c r="V65" s="16">
        <f t="shared" si="166"/>
        <v>0</v>
      </c>
      <c r="W65" s="17">
        <f t="shared" si="167"/>
        <v>0</v>
      </c>
    </row>
    <row r="66" spans="1:23" ht="10.5" hidden="1" customHeight="1" x14ac:dyDescent="0.2">
      <c r="A66" s="11"/>
      <c r="B66" s="149">
        <f>COUNTA(Spieltag!K53:AA53)</f>
        <v>0</v>
      </c>
      <c r="C66" s="166">
        <f>Spieltag!A53</f>
        <v>47</v>
      </c>
      <c r="D66" s="21" t="str">
        <f>Spieltag!B53</f>
        <v>Antonis Papadopoulos</v>
      </c>
      <c r="E66" s="12" t="str">
        <f>Spieltag!C53</f>
        <v>Abwehr</v>
      </c>
      <c r="F66" s="13" t="s">
        <v>57</v>
      </c>
      <c r="G66" s="14"/>
      <c r="H66" s="15">
        <f t="shared" ref="H66" si="184">IF(G66="x",10,0)</f>
        <v>0</v>
      </c>
      <c r="I66" s="14"/>
      <c r="J66" s="15">
        <f t="shared" ref="J66" si="185">IF((I66="x"),-10,0)</f>
        <v>0</v>
      </c>
      <c r="K66" s="14"/>
      <c r="L66" s="15">
        <f t="shared" ref="L66" si="186">IF((K66="x"),-20,0)</f>
        <v>0</v>
      </c>
      <c r="M66" s="14"/>
      <c r="N66" s="15">
        <f t="shared" ref="N66" si="187">IF((M66="x"),-30,0)</f>
        <v>0</v>
      </c>
      <c r="O66" s="16">
        <f t="shared" si="153"/>
        <v>10</v>
      </c>
      <c r="P66" s="16">
        <f t="shared" si="154"/>
        <v>-5</v>
      </c>
      <c r="Q66" s="16">
        <f t="shared" si="155"/>
        <v>15</v>
      </c>
      <c r="R66" s="14"/>
      <c r="S66" s="15">
        <f t="shared" ref="S66" si="188">R66*15</f>
        <v>0</v>
      </c>
      <c r="T66" s="14"/>
      <c r="U66" s="15">
        <f t="shared" ref="U66" si="189">T66*-15</f>
        <v>0</v>
      </c>
      <c r="V66" s="16">
        <f t="shared" ref="V66" si="190">IF(AND(R66=2),10,IF(R66=3,30,IF(R66=4,50,IF(R66=5,70,0))))</f>
        <v>0</v>
      </c>
      <c r="W66" s="17">
        <f t="shared" ref="W66" si="191">IF(G66="x",H66+J66+L66+N66+O66+P66+Q66+S66+U66+V66,0)</f>
        <v>0</v>
      </c>
    </row>
    <row r="67" spans="1:23" ht="10.5" hidden="1" customHeight="1" x14ac:dyDescent="0.2">
      <c r="A67" s="11" t="s">
        <v>81</v>
      </c>
      <c r="B67" s="149">
        <f>COUNTA(Spieltag!K54:AA54)</f>
        <v>0</v>
      </c>
      <c r="C67" s="166">
        <f>Spieltag!A54</f>
        <v>6</v>
      </c>
      <c r="D67" s="21" t="str">
        <f>Spieltag!B54</f>
        <v>Salih Özcan</v>
      </c>
      <c r="E67" s="12" t="str">
        <f>Spieltag!C54</f>
        <v>Mittelfeld</v>
      </c>
      <c r="F67" s="13" t="s">
        <v>57</v>
      </c>
      <c r="G67" s="14"/>
      <c r="H67" s="15">
        <f t="shared" ref="H67:H77" si="192">IF(G67="x",10,0)</f>
        <v>0</v>
      </c>
      <c r="I67" s="14"/>
      <c r="J67" s="15">
        <f t="shared" ref="J67:J77" si="193">IF((I67="x"),-10,0)</f>
        <v>0</v>
      </c>
      <c r="K67" s="14"/>
      <c r="L67" s="15">
        <f t="shared" ref="L67:L77" si="194">IF((K67="x"),-20,0)</f>
        <v>0</v>
      </c>
      <c r="M67" s="14"/>
      <c r="N67" s="15">
        <f t="shared" ref="N67:N77" si="195">IF((M67="x"),-30,0)</f>
        <v>0</v>
      </c>
      <c r="O67" s="16">
        <f t="shared" ref="O67:O85" si="196">IF(AND($P$5&gt;$Q$5),20,IF($P$5=$Q$5,10,0))</f>
        <v>10</v>
      </c>
      <c r="P67" s="16">
        <f t="shared" ref="P67:P85" si="197">IF(($P$5&lt;&gt;0),$P$5*10,-5)</f>
        <v>-5</v>
      </c>
      <c r="Q67" s="16">
        <f t="shared" ref="Q67:Q77" si="198">IF(($Q$5&lt;&gt;0),$Q$5*-10,10)</f>
        <v>10</v>
      </c>
      <c r="R67" s="14"/>
      <c r="S67" s="15">
        <f t="shared" ref="S67:S77" si="199">R67*10</f>
        <v>0</v>
      </c>
      <c r="T67" s="14"/>
      <c r="U67" s="15">
        <f t="shared" ref="U67:U77" si="200">T67*-15</f>
        <v>0</v>
      </c>
      <c r="V67" s="16">
        <f t="shared" ref="V67:V77" si="201">IF(AND(R67=2),10,IF(R67=3,30,IF(R67=4,50,IF(R67=5,70,0))))</f>
        <v>0</v>
      </c>
      <c r="W67" s="17">
        <f t="shared" ref="W67:W77" si="202">IF(G67="x",H67+J67+L67+N67+O67+P67+Q67+S67+U67+V67,0)</f>
        <v>0</v>
      </c>
    </row>
    <row r="68" spans="1:23" ht="10.5" hidden="1" customHeight="1" x14ac:dyDescent="0.2">
      <c r="A68" s="11" t="s">
        <v>81</v>
      </c>
      <c r="B68" s="149">
        <f>COUNTA(Spieltag!K55:AA55)</f>
        <v>0</v>
      </c>
      <c r="C68" s="166">
        <f>Spieltag!A55</f>
        <v>7</v>
      </c>
      <c r="D68" s="21" t="str">
        <f>Spieltag!B55</f>
        <v>Giovanni Reyna (A)</v>
      </c>
      <c r="E68" s="12" t="str">
        <f>Spieltag!C55</f>
        <v>Mittelfeld</v>
      </c>
      <c r="F68" s="13" t="s">
        <v>57</v>
      </c>
      <c r="G68" s="14"/>
      <c r="H68" s="15">
        <f t="shared" si="192"/>
        <v>0</v>
      </c>
      <c r="I68" s="14"/>
      <c r="J68" s="15">
        <f t="shared" si="193"/>
        <v>0</v>
      </c>
      <c r="K68" s="14"/>
      <c r="L68" s="15">
        <f t="shared" si="194"/>
        <v>0</v>
      </c>
      <c r="M68" s="14"/>
      <c r="N68" s="15">
        <f t="shared" si="195"/>
        <v>0</v>
      </c>
      <c r="O68" s="16">
        <f t="shared" si="196"/>
        <v>10</v>
      </c>
      <c r="P68" s="16">
        <f t="shared" si="197"/>
        <v>-5</v>
      </c>
      <c r="Q68" s="16">
        <f t="shared" si="198"/>
        <v>10</v>
      </c>
      <c r="R68" s="14"/>
      <c r="S68" s="15">
        <f t="shared" si="199"/>
        <v>0</v>
      </c>
      <c r="T68" s="14"/>
      <c r="U68" s="15">
        <f t="shared" si="200"/>
        <v>0</v>
      </c>
      <c r="V68" s="16">
        <f t="shared" si="201"/>
        <v>0</v>
      </c>
      <c r="W68" s="17">
        <f t="shared" si="202"/>
        <v>0</v>
      </c>
    </row>
    <row r="69" spans="1:23" ht="10.5" hidden="1" customHeight="1" x14ac:dyDescent="0.2">
      <c r="A69" s="11" t="s">
        <v>81</v>
      </c>
      <c r="B69" s="149">
        <f>COUNTA(Spieltag!K56:AA56)</f>
        <v>0</v>
      </c>
      <c r="C69" s="166">
        <f>Spieltag!A56</f>
        <v>8</v>
      </c>
      <c r="D69" s="21" t="str">
        <f>Spieltag!B56</f>
        <v>Felix Nmecha</v>
      </c>
      <c r="E69" s="12" t="str">
        <f>Spieltag!C56</f>
        <v>Mittelfeld</v>
      </c>
      <c r="F69" s="13" t="s">
        <v>57</v>
      </c>
      <c r="G69" s="14"/>
      <c r="H69" s="15">
        <f t="shared" si="192"/>
        <v>0</v>
      </c>
      <c r="I69" s="14"/>
      <c r="J69" s="15">
        <f t="shared" si="193"/>
        <v>0</v>
      </c>
      <c r="K69" s="14"/>
      <c r="L69" s="15">
        <f t="shared" si="194"/>
        <v>0</v>
      </c>
      <c r="M69" s="14"/>
      <c r="N69" s="15">
        <f t="shared" si="195"/>
        <v>0</v>
      </c>
      <c r="O69" s="16">
        <f t="shared" si="196"/>
        <v>10</v>
      </c>
      <c r="P69" s="16">
        <f t="shared" si="197"/>
        <v>-5</v>
      </c>
      <c r="Q69" s="16">
        <f t="shared" si="198"/>
        <v>10</v>
      </c>
      <c r="R69" s="14"/>
      <c r="S69" s="15">
        <f t="shared" si="199"/>
        <v>0</v>
      </c>
      <c r="T69" s="14"/>
      <c r="U69" s="15">
        <f t="shared" si="200"/>
        <v>0</v>
      </c>
      <c r="V69" s="16">
        <f t="shared" si="201"/>
        <v>0</v>
      </c>
      <c r="W69" s="17">
        <f t="shared" si="202"/>
        <v>0</v>
      </c>
    </row>
    <row r="70" spans="1:23" ht="10.5" hidden="1" customHeight="1" x14ac:dyDescent="0.2">
      <c r="A70" s="11" t="s">
        <v>81</v>
      </c>
      <c r="B70" s="149">
        <f>COUNTA(Spieltag!K57:AA57)</f>
        <v>0</v>
      </c>
      <c r="C70" s="166">
        <f>Spieltag!A57</f>
        <v>10</v>
      </c>
      <c r="D70" s="21" t="str">
        <f>Spieltag!B57</f>
        <v>Jadon Sancho (A)</v>
      </c>
      <c r="E70" s="12" t="str">
        <f>Spieltag!C57</f>
        <v>Mittelfeld</v>
      </c>
      <c r="F70" s="13" t="s">
        <v>57</v>
      </c>
      <c r="G70" s="14"/>
      <c r="H70" s="15">
        <f t="shared" ref="H70" si="203">IF(G70="x",10,0)</f>
        <v>0</v>
      </c>
      <c r="I70" s="14"/>
      <c r="J70" s="15">
        <f t="shared" ref="J70" si="204">IF((I70="x"),-10,0)</f>
        <v>0</v>
      </c>
      <c r="K70" s="14"/>
      <c r="L70" s="15">
        <f t="shared" ref="L70" si="205">IF((K70="x"),-20,0)</f>
        <v>0</v>
      </c>
      <c r="M70" s="14"/>
      <c r="N70" s="15">
        <f t="shared" ref="N70" si="206">IF((M70="x"),-30,0)</f>
        <v>0</v>
      </c>
      <c r="O70" s="16">
        <f t="shared" si="196"/>
        <v>10</v>
      </c>
      <c r="P70" s="16">
        <f t="shared" si="197"/>
        <v>-5</v>
      </c>
      <c r="Q70" s="16">
        <f t="shared" si="198"/>
        <v>10</v>
      </c>
      <c r="R70" s="14"/>
      <c r="S70" s="15">
        <f t="shared" ref="S70" si="207">R70*10</f>
        <v>0</v>
      </c>
      <c r="T70" s="14"/>
      <c r="U70" s="15">
        <f t="shared" ref="U70" si="208">T70*-15</f>
        <v>0</v>
      </c>
      <c r="V70" s="16">
        <f t="shared" ref="V70" si="209">IF(AND(R70=2),10,IF(R70=3,30,IF(R70=4,50,IF(R70=5,70,0))))</f>
        <v>0</v>
      </c>
      <c r="W70" s="17">
        <f t="shared" ref="W70" si="210">IF(G70="x",H70+J70+L70+N70+O70+P70+Q70+S70+U70+V70,0)</f>
        <v>0</v>
      </c>
    </row>
    <row r="71" spans="1:23" ht="10.5" hidden="1" customHeight="1" x14ac:dyDescent="0.2">
      <c r="A71" s="11" t="s">
        <v>81</v>
      </c>
      <c r="B71" s="149">
        <f>COUNTA(Spieltag!K58:AA58)</f>
        <v>0</v>
      </c>
      <c r="C71" s="166">
        <f>Spieltag!A58</f>
        <v>11</v>
      </c>
      <c r="D71" s="21" t="str">
        <f>Spieltag!B58</f>
        <v>Marco Reus</v>
      </c>
      <c r="E71" s="12" t="str">
        <f>Spieltag!C58</f>
        <v>Mittelfeld</v>
      </c>
      <c r="F71" s="13" t="s">
        <v>57</v>
      </c>
      <c r="G71" s="14"/>
      <c r="H71" s="15">
        <f t="shared" si="192"/>
        <v>0</v>
      </c>
      <c r="I71" s="14"/>
      <c r="J71" s="15">
        <f t="shared" si="193"/>
        <v>0</v>
      </c>
      <c r="K71" s="14"/>
      <c r="L71" s="15">
        <f t="shared" si="194"/>
        <v>0</v>
      </c>
      <c r="M71" s="14"/>
      <c r="N71" s="15">
        <f t="shared" si="195"/>
        <v>0</v>
      </c>
      <c r="O71" s="16">
        <f t="shared" si="196"/>
        <v>10</v>
      </c>
      <c r="P71" s="16">
        <f t="shared" si="197"/>
        <v>-5</v>
      </c>
      <c r="Q71" s="16">
        <f t="shared" si="198"/>
        <v>10</v>
      </c>
      <c r="R71" s="14"/>
      <c r="S71" s="15">
        <f t="shared" si="199"/>
        <v>0</v>
      </c>
      <c r="T71" s="14"/>
      <c r="U71" s="15">
        <f t="shared" si="200"/>
        <v>0</v>
      </c>
      <c r="V71" s="16">
        <f t="shared" si="201"/>
        <v>0</v>
      </c>
      <c r="W71" s="17">
        <f t="shared" si="202"/>
        <v>0</v>
      </c>
    </row>
    <row r="72" spans="1:23" ht="10.5" customHeight="1" x14ac:dyDescent="0.2">
      <c r="A72" s="11" t="s">
        <v>81</v>
      </c>
      <c r="B72" s="149">
        <f>COUNTA(Spieltag!K59:AA59)</f>
        <v>2</v>
      </c>
      <c r="C72" s="166">
        <f>Spieltag!A59</f>
        <v>19</v>
      </c>
      <c r="D72" s="21" t="str">
        <f>Spieltag!B59</f>
        <v>Julian Brandt</v>
      </c>
      <c r="E72" s="12" t="str">
        <f>Spieltag!C59</f>
        <v>Mittelfeld</v>
      </c>
      <c r="F72" s="13" t="s">
        <v>57</v>
      </c>
      <c r="G72" s="14" t="s">
        <v>59</v>
      </c>
      <c r="H72" s="15">
        <f t="shared" si="192"/>
        <v>0</v>
      </c>
      <c r="I72" s="14"/>
      <c r="J72" s="15">
        <f t="shared" si="193"/>
        <v>0</v>
      </c>
      <c r="K72" s="14"/>
      <c r="L72" s="15">
        <f t="shared" si="194"/>
        <v>0</v>
      </c>
      <c r="M72" s="14"/>
      <c r="N72" s="15">
        <f t="shared" si="195"/>
        <v>0</v>
      </c>
      <c r="O72" s="16">
        <f t="shared" si="196"/>
        <v>10</v>
      </c>
      <c r="P72" s="16">
        <f t="shared" si="197"/>
        <v>-5</v>
      </c>
      <c r="Q72" s="16">
        <f t="shared" si="198"/>
        <v>10</v>
      </c>
      <c r="R72" s="14"/>
      <c r="S72" s="15">
        <f t="shared" si="199"/>
        <v>0</v>
      </c>
      <c r="T72" s="14"/>
      <c r="U72" s="15">
        <f t="shared" si="200"/>
        <v>0</v>
      </c>
      <c r="V72" s="16">
        <f t="shared" si="201"/>
        <v>0</v>
      </c>
      <c r="W72" s="17">
        <f t="shared" si="202"/>
        <v>0</v>
      </c>
    </row>
    <row r="73" spans="1:23" ht="10.5" customHeight="1" x14ac:dyDescent="0.2">
      <c r="A73" s="11" t="s">
        <v>81</v>
      </c>
      <c r="B73" s="149">
        <f>COUNTA(Spieltag!K60:AA60)</f>
        <v>1</v>
      </c>
      <c r="C73" s="166">
        <f>Spieltag!A60</f>
        <v>20</v>
      </c>
      <c r="D73" s="21" t="str">
        <f>Spieltag!B60</f>
        <v>Marcel Sabitzer (A)</v>
      </c>
      <c r="E73" s="12" t="str">
        <f>Spieltag!C60</f>
        <v>Mittelfeld</v>
      </c>
      <c r="F73" s="13" t="s">
        <v>57</v>
      </c>
      <c r="G73" s="14" t="s">
        <v>675</v>
      </c>
      <c r="H73" s="15">
        <f t="shared" si="192"/>
        <v>10</v>
      </c>
      <c r="I73" s="14"/>
      <c r="J73" s="15">
        <f t="shared" si="193"/>
        <v>0</v>
      </c>
      <c r="K73" s="14"/>
      <c r="L73" s="15">
        <f t="shared" si="194"/>
        <v>0</v>
      </c>
      <c r="M73" s="14"/>
      <c r="N73" s="15">
        <f t="shared" si="195"/>
        <v>0</v>
      </c>
      <c r="O73" s="16">
        <f t="shared" si="196"/>
        <v>10</v>
      </c>
      <c r="P73" s="16">
        <f t="shared" si="197"/>
        <v>-5</v>
      </c>
      <c r="Q73" s="16">
        <f t="shared" si="198"/>
        <v>10</v>
      </c>
      <c r="R73" s="14"/>
      <c r="S73" s="15">
        <f t="shared" si="199"/>
        <v>0</v>
      </c>
      <c r="T73" s="14"/>
      <c r="U73" s="15">
        <f t="shared" si="200"/>
        <v>0</v>
      </c>
      <c r="V73" s="16">
        <f t="shared" si="201"/>
        <v>0</v>
      </c>
      <c r="W73" s="17">
        <f t="shared" si="202"/>
        <v>25</v>
      </c>
    </row>
    <row r="74" spans="1:23" ht="10.5" customHeight="1" x14ac:dyDescent="0.2">
      <c r="A74" s="11" t="s">
        <v>81</v>
      </c>
      <c r="B74" s="149">
        <f>COUNTA(Spieltag!K61:AA61)</f>
        <v>1</v>
      </c>
      <c r="C74" s="166">
        <f>Spieltag!A61</f>
        <v>23</v>
      </c>
      <c r="D74" s="21" t="str">
        <f>Spieltag!B61</f>
        <v>Emre Can</v>
      </c>
      <c r="E74" s="12" t="str">
        <f>Spieltag!C61</f>
        <v>Mittelfeld</v>
      </c>
      <c r="F74" s="13" t="s">
        <v>57</v>
      </c>
      <c r="G74" s="14" t="s">
        <v>675</v>
      </c>
      <c r="H74" s="15">
        <f t="shared" si="192"/>
        <v>10</v>
      </c>
      <c r="I74" s="14"/>
      <c r="J74" s="15">
        <f t="shared" si="193"/>
        <v>0</v>
      </c>
      <c r="K74" s="14"/>
      <c r="L74" s="15">
        <f t="shared" si="194"/>
        <v>0</v>
      </c>
      <c r="M74" s="14"/>
      <c r="N74" s="15">
        <f t="shared" si="195"/>
        <v>0</v>
      </c>
      <c r="O74" s="16">
        <f t="shared" si="196"/>
        <v>10</v>
      </c>
      <c r="P74" s="16">
        <f t="shared" si="197"/>
        <v>-5</v>
      </c>
      <c r="Q74" s="16">
        <f t="shared" si="198"/>
        <v>10</v>
      </c>
      <c r="R74" s="14"/>
      <c r="S74" s="15">
        <f t="shared" si="199"/>
        <v>0</v>
      </c>
      <c r="T74" s="14"/>
      <c r="U74" s="15">
        <f t="shared" si="200"/>
        <v>0</v>
      </c>
      <c r="V74" s="16">
        <f t="shared" si="201"/>
        <v>0</v>
      </c>
      <c r="W74" s="17">
        <f t="shared" si="202"/>
        <v>25</v>
      </c>
    </row>
    <row r="75" spans="1:23" ht="10.5" hidden="1" customHeight="1" x14ac:dyDescent="0.2">
      <c r="A75" s="11" t="s">
        <v>81</v>
      </c>
      <c r="B75" s="149">
        <f>COUNTA(Spieltag!K62:AA62)</f>
        <v>0</v>
      </c>
      <c r="C75" s="166">
        <f>Spieltag!A62</f>
        <v>30</v>
      </c>
      <c r="D75" s="21" t="str">
        <f>Spieltag!B62</f>
        <v>Ole Pohlmann</v>
      </c>
      <c r="E75" s="12" t="str">
        <f>Spieltag!C62</f>
        <v>Mittelfeld</v>
      </c>
      <c r="F75" s="13" t="s">
        <v>57</v>
      </c>
      <c r="G75" s="14"/>
      <c r="H75" s="15">
        <f t="shared" si="192"/>
        <v>0</v>
      </c>
      <c r="I75" s="14"/>
      <c r="J75" s="15">
        <f t="shared" si="193"/>
        <v>0</v>
      </c>
      <c r="K75" s="14"/>
      <c r="L75" s="15">
        <f t="shared" si="194"/>
        <v>0</v>
      </c>
      <c r="M75" s="14"/>
      <c r="N75" s="15">
        <f t="shared" si="195"/>
        <v>0</v>
      </c>
      <c r="O75" s="16">
        <f t="shared" si="196"/>
        <v>10</v>
      </c>
      <c r="P75" s="16">
        <f t="shared" si="197"/>
        <v>-5</v>
      </c>
      <c r="Q75" s="16">
        <f t="shared" si="198"/>
        <v>10</v>
      </c>
      <c r="R75" s="14"/>
      <c r="S75" s="15">
        <f t="shared" si="199"/>
        <v>0</v>
      </c>
      <c r="T75" s="14"/>
      <c r="U75" s="15">
        <f t="shared" si="200"/>
        <v>0</v>
      </c>
      <c r="V75" s="16">
        <f t="shared" si="201"/>
        <v>0</v>
      </c>
      <c r="W75" s="17">
        <f t="shared" si="202"/>
        <v>0</v>
      </c>
    </row>
    <row r="76" spans="1:23" ht="10.5" hidden="1" customHeight="1" x14ac:dyDescent="0.2">
      <c r="A76" s="11" t="s">
        <v>81</v>
      </c>
      <c r="B76" s="149">
        <f>COUNTA(Spieltag!K63:AA63)</f>
        <v>0</v>
      </c>
      <c r="C76" s="166">
        <f>Spieltag!A63</f>
        <v>32</v>
      </c>
      <c r="D76" s="21" t="str">
        <f>Spieltag!B63</f>
        <v>Abdoulaye Kamara (A)</v>
      </c>
      <c r="E76" s="12" t="str">
        <f>Spieltag!C63</f>
        <v>Mittelfeld</v>
      </c>
      <c r="F76" s="13" t="s">
        <v>57</v>
      </c>
      <c r="G76" s="14"/>
      <c r="H76" s="15">
        <f t="shared" ref="H76" si="211">IF(G76="x",10,0)</f>
        <v>0</v>
      </c>
      <c r="I76" s="14"/>
      <c r="J76" s="15">
        <f t="shared" ref="J76" si="212">IF((I76="x"),-10,0)</f>
        <v>0</v>
      </c>
      <c r="K76" s="14"/>
      <c r="L76" s="15">
        <f t="shared" ref="L76" si="213">IF((K76="x"),-20,0)</f>
        <v>0</v>
      </c>
      <c r="M76" s="14"/>
      <c r="N76" s="15">
        <f t="shared" ref="N76" si="214">IF((M76="x"),-30,0)</f>
        <v>0</v>
      </c>
      <c r="O76" s="16">
        <f t="shared" si="196"/>
        <v>10</v>
      </c>
      <c r="P76" s="16">
        <f t="shared" si="197"/>
        <v>-5</v>
      </c>
      <c r="Q76" s="16">
        <f t="shared" si="198"/>
        <v>10</v>
      </c>
      <c r="R76" s="14"/>
      <c r="S76" s="15">
        <f t="shared" ref="S76" si="215">R76*10</f>
        <v>0</v>
      </c>
      <c r="T76" s="14"/>
      <c r="U76" s="15">
        <f t="shared" ref="U76" si="216">T76*-15</f>
        <v>0</v>
      </c>
      <c r="V76" s="16">
        <f t="shared" ref="V76" si="217">IF(AND(R76=2),10,IF(R76=3,30,IF(R76=4,50,IF(R76=5,70,0))))</f>
        <v>0</v>
      </c>
      <c r="W76" s="17">
        <f t="shared" ref="W76" si="218">IF(G76="x",H76+J76+L76+N76+O76+P76+Q76+S76+U76+V76,0)</f>
        <v>0</v>
      </c>
    </row>
    <row r="77" spans="1:23" ht="10.5" hidden="1" customHeight="1" x14ac:dyDescent="0.2">
      <c r="A77" s="11" t="s">
        <v>81</v>
      </c>
      <c r="B77" s="149">
        <f>COUNTA(Spieltag!K64:AA64)</f>
        <v>0</v>
      </c>
      <c r="C77" s="166">
        <f>Spieltag!A64</f>
        <v>48</v>
      </c>
      <c r="D77" s="21" t="str">
        <f>Spieltag!B64</f>
        <v>Samuel Bamba</v>
      </c>
      <c r="E77" s="12" t="str">
        <f>Spieltag!C64</f>
        <v>Mittelfeld</v>
      </c>
      <c r="F77" s="13" t="s">
        <v>57</v>
      </c>
      <c r="G77" s="14"/>
      <c r="H77" s="15">
        <f t="shared" si="192"/>
        <v>0</v>
      </c>
      <c r="I77" s="14"/>
      <c r="J77" s="15">
        <f t="shared" si="193"/>
        <v>0</v>
      </c>
      <c r="K77" s="14"/>
      <c r="L77" s="15">
        <f t="shared" si="194"/>
        <v>0</v>
      </c>
      <c r="M77" s="14"/>
      <c r="N77" s="15">
        <f t="shared" si="195"/>
        <v>0</v>
      </c>
      <c r="O77" s="16">
        <f t="shared" si="196"/>
        <v>10</v>
      </c>
      <c r="P77" s="16">
        <f t="shared" si="197"/>
        <v>-5</v>
      </c>
      <c r="Q77" s="16">
        <f t="shared" si="198"/>
        <v>10</v>
      </c>
      <c r="R77" s="14"/>
      <c r="S77" s="15">
        <f t="shared" si="199"/>
        <v>0</v>
      </c>
      <c r="T77" s="14"/>
      <c r="U77" s="15">
        <f t="shared" si="200"/>
        <v>0</v>
      </c>
      <c r="V77" s="16">
        <f t="shared" si="201"/>
        <v>0</v>
      </c>
      <c r="W77" s="17">
        <f t="shared" si="202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9</v>
      </c>
      <c r="D78" s="21" t="str">
        <f>Spieltag!B65</f>
        <v>Sebastien Haller (A)</v>
      </c>
      <c r="E78" s="12" t="str">
        <f>Spieltag!C65</f>
        <v>Sturm</v>
      </c>
      <c r="F78" s="13" t="s">
        <v>57</v>
      </c>
      <c r="G78" s="14"/>
      <c r="H78" s="15">
        <f t="shared" ref="H78:H80" si="219">IF(G78="x",10,0)</f>
        <v>0</v>
      </c>
      <c r="I78" s="14"/>
      <c r="J78" s="15">
        <f t="shared" ref="J78:J80" si="220">IF((I78="x"),-10,0)</f>
        <v>0</v>
      </c>
      <c r="K78" s="14"/>
      <c r="L78" s="15">
        <f t="shared" ref="L78:L80" si="221">IF((K78="x"),-20,0)</f>
        <v>0</v>
      </c>
      <c r="M78" s="14"/>
      <c r="N78" s="15">
        <f t="shared" ref="N78:N80" si="222">IF((M78="x"),-30,0)</f>
        <v>0</v>
      </c>
      <c r="O78" s="16">
        <f t="shared" si="196"/>
        <v>10</v>
      </c>
      <c r="P78" s="16">
        <f t="shared" si="197"/>
        <v>-5</v>
      </c>
      <c r="Q78" s="16">
        <f t="shared" ref="Q78:Q85" si="223">IF(($Q$5&lt;&gt;0),$Q$5*-10,5)</f>
        <v>5</v>
      </c>
      <c r="R78" s="14"/>
      <c r="S78" s="15">
        <f t="shared" ref="S78:S80" si="224">R78*10</f>
        <v>0</v>
      </c>
      <c r="T78" s="14"/>
      <c r="U78" s="15">
        <f t="shared" ref="U78:U80" si="225">T78*-15</f>
        <v>0</v>
      </c>
      <c r="V78" s="16">
        <f t="shared" ref="V78:V80" si="226">IF(AND(R78=2),10,IF(R78=3,30,IF(R78=4,50,IF(R78=5,70,0))))</f>
        <v>0</v>
      </c>
      <c r="W78" s="17">
        <f t="shared" ref="W78:W80" si="227">IF(G78="x",H78+J78+L78+N78+O78+P78+Q78+S78+U78+V78,0)</f>
        <v>0</v>
      </c>
    </row>
    <row r="79" spans="1:23" ht="10.5" customHeight="1" x14ac:dyDescent="0.2">
      <c r="A79" s="11"/>
      <c r="B79" s="149">
        <f>COUNTA(Spieltag!K66:AA66)</f>
        <v>3</v>
      </c>
      <c r="C79" s="166">
        <f>Spieltag!A66</f>
        <v>14</v>
      </c>
      <c r="D79" s="21" t="str">
        <f>Spieltag!B66</f>
        <v>Niclas Füllkrug</v>
      </c>
      <c r="E79" s="12" t="str">
        <f>Spieltag!C66</f>
        <v>Sturm</v>
      </c>
      <c r="F79" s="13" t="s">
        <v>57</v>
      </c>
      <c r="G79" s="14" t="s">
        <v>675</v>
      </c>
      <c r="H79" s="15">
        <f t="shared" ref="H79" si="228">IF(G79="x",10,0)</f>
        <v>10</v>
      </c>
      <c r="I79" s="14"/>
      <c r="J79" s="15">
        <f t="shared" ref="J79" si="229">IF((I79="x"),-10,0)</f>
        <v>0</v>
      </c>
      <c r="K79" s="14"/>
      <c r="L79" s="15">
        <f t="shared" ref="L79" si="230">IF((K79="x"),-20,0)</f>
        <v>0</v>
      </c>
      <c r="M79" s="14"/>
      <c r="N79" s="15">
        <f t="shared" ref="N79" si="231">IF((M79="x"),-30,0)</f>
        <v>0</v>
      </c>
      <c r="O79" s="16">
        <f t="shared" si="196"/>
        <v>10</v>
      </c>
      <c r="P79" s="16">
        <f t="shared" si="197"/>
        <v>-5</v>
      </c>
      <c r="Q79" s="16">
        <f t="shared" si="223"/>
        <v>5</v>
      </c>
      <c r="R79" s="14"/>
      <c r="S79" s="15">
        <f t="shared" ref="S79" si="232">R79*10</f>
        <v>0</v>
      </c>
      <c r="T79" s="14"/>
      <c r="U79" s="15">
        <f t="shared" ref="U79" si="233">T79*-15</f>
        <v>0</v>
      </c>
      <c r="V79" s="16">
        <f t="shared" ref="V79" si="234">IF(AND(R79=2),10,IF(R79=3,30,IF(R79=4,50,IF(R79=5,70,0))))</f>
        <v>0</v>
      </c>
      <c r="W79" s="17">
        <f t="shared" ref="W79" si="235">IF(G79="x",H79+J79+L79+N79+O79+P79+Q79+S79+U79+V79,0)</f>
        <v>20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16</v>
      </c>
      <c r="D80" s="21" t="str">
        <f>Spieltag!B67</f>
        <v>Julien Duranville (A)</v>
      </c>
      <c r="E80" s="12" t="str">
        <f>Spieltag!C67</f>
        <v>Sturm</v>
      </c>
      <c r="F80" s="13" t="s">
        <v>57</v>
      </c>
      <c r="G80" s="14"/>
      <c r="H80" s="15">
        <f t="shared" si="219"/>
        <v>0</v>
      </c>
      <c r="I80" s="14"/>
      <c r="J80" s="15">
        <f t="shared" si="220"/>
        <v>0</v>
      </c>
      <c r="K80" s="14"/>
      <c r="L80" s="15">
        <f t="shared" si="221"/>
        <v>0</v>
      </c>
      <c r="M80" s="14"/>
      <c r="N80" s="15">
        <f t="shared" si="222"/>
        <v>0</v>
      </c>
      <c r="O80" s="16">
        <f t="shared" si="196"/>
        <v>10</v>
      </c>
      <c r="P80" s="16">
        <f t="shared" si="197"/>
        <v>-5</v>
      </c>
      <c r="Q80" s="16">
        <f t="shared" si="223"/>
        <v>5</v>
      </c>
      <c r="R80" s="14"/>
      <c r="S80" s="15">
        <f t="shared" si="224"/>
        <v>0</v>
      </c>
      <c r="T80" s="14"/>
      <c r="U80" s="15">
        <f t="shared" si="225"/>
        <v>0</v>
      </c>
      <c r="V80" s="16">
        <f t="shared" si="226"/>
        <v>0</v>
      </c>
      <c r="W80" s="17">
        <f t="shared" si="227"/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18</v>
      </c>
      <c r="D81" s="21" t="str">
        <f>Spieltag!B68</f>
        <v xml:space="preserve">Youssoufa Moukoko </v>
      </c>
      <c r="E81" s="12" t="str">
        <f>Spieltag!C68</f>
        <v>Sturm</v>
      </c>
      <c r="F81" s="13" t="s">
        <v>57</v>
      </c>
      <c r="G81" s="14"/>
      <c r="H81" s="15">
        <f t="shared" ref="H81:H85" si="236">IF(G81="x",10,0)</f>
        <v>0</v>
      </c>
      <c r="I81" s="14"/>
      <c r="J81" s="15">
        <f t="shared" ref="J81:J85" si="237">IF((I81="x"),-10,0)</f>
        <v>0</v>
      </c>
      <c r="K81" s="14"/>
      <c r="L81" s="15">
        <f t="shared" ref="L81:L85" si="238">IF((K81="x"),-20,0)</f>
        <v>0</v>
      </c>
      <c r="M81" s="14"/>
      <c r="N81" s="15">
        <f t="shared" ref="N81:N85" si="239">IF((M81="x"),-30,0)</f>
        <v>0</v>
      </c>
      <c r="O81" s="16">
        <f t="shared" si="196"/>
        <v>10</v>
      </c>
      <c r="P81" s="16">
        <f t="shared" si="197"/>
        <v>-5</v>
      </c>
      <c r="Q81" s="16">
        <f t="shared" si="223"/>
        <v>5</v>
      </c>
      <c r="R81" s="14"/>
      <c r="S81" s="15">
        <f t="shared" ref="S81:S85" si="240">R81*10</f>
        <v>0</v>
      </c>
      <c r="T81" s="14"/>
      <c r="U81" s="15">
        <f t="shared" ref="U81:U85" si="241">T81*-15</f>
        <v>0</v>
      </c>
      <c r="V81" s="16">
        <f t="shared" ref="V81:V85" si="242">IF(AND(R81=2),10,IF(R81=3,30,IF(R81=4,50,IF(R81=5,70,0))))</f>
        <v>0</v>
      </c>
      <c r="W81" s="17">
        <f t="shared" ref="W81:W85" si="243">IF(G81="x",H81+J81+L81+N81+O81+P81+Q81+S81+U81+V81,0)</f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21</v>
      </c>
      <c r="D82" s="21" t="str">
        <f>Spieltag!B69</f>
        <v>Donyell Malen (A)</v>
      </c>
      <c r="E82" s="12" t="str">
        <f>Spieltag!C69</f>
        <v>Sturm</v>
      </c>
      <c r="F82" s="13" t="s">
        <v>57</v>
      </c>
      <c r="G82" s="14"/>
      <c r="H82" s="15">
        <f t="shared" ref="H82" si="244">IF(G82="x",10,0)</f>
        <v>0</v>
      </c>
      <c r="I82" s="14"/>
      <c r="J82" s="15">
        <f t="shared" ref="J82" si="245">IF((I82="x"),-10,0)</f>
        <v>0</v>
      </c>
      <c r="K82" s="14"/>
      <c r="L82" s="15">
        <f t="shared" ref="L82" si="246">IF((K82="x"),-20,0)</f>
        <v>0</v>
      </c>
      <c r="M82" s="14"/>
      <c r="N82" s="15">
        <f t="shared" ref="N82" si="247">IF((M82="x"),-30,0)</f>
        <v>0</v>
      </c>
      <c r="O82" s="16">
        <f t="shared" si="196"/>
        <v>10</v>
      </c>
      <c r="P82" s="16">
        <f t="shared" si="197"/>
        <v>-5</v>
      </c>
      <c r="Q82" s="16">
        <f t="shared" si="223"/>
        <v>5</v>
      </c>
      <c r="R82" s="14"/>
      <c r="S82" s="15">
        <f t="shared" ref="S82" si="248">R82*10</f>
        <v>0</v>
      </c>
      <c r="T82" s="14"/>
      <c r="U82" s="15">
        <f t="shared" ref="U82" si="249">T82*-15</f>
        <v>0</v>
      </c>
      <c r="V82" s="16">
        <f t="shared" ref="V82" si="250">IF(AND(R82=2),10,IF(R82=3,30,IF(R82=4,50,IF(R82=5,70,0))))</f>
        <v>0</v>
      </c>
      <c r="W82" s="17">
        <f t="shared" ref="W82" si="251">IF(G82="x",H82+J82+L82+N82+O82+P82+Q82+S82+U82+V82,0)</f>
        <v>0</v>
      </c>
    </row>
    <row r="83" spans="1:23" ht="10.5" hidden="1" customHeight="1" x14ac:dyDescent="0.2">
      <c r="A83" s="11"/>
      <c r="B83" s="149">
        <f>COUNTA(Spieltag!K70:AA70)</f>
        <v>0</v>
      </c>
      <c r="C83" s="166">
        <f>Spieltag!A70</f>
        <v>27</v>
      </c>
      <c r="D83" s="21" t="str">
        <f>Spieltag!B70</f>
        <v>Karim Adeyemi</v>
      </c>
      <c r="E83" s="12" t="str">
        <f>Spieltag!C70</f>
        <v>Sturm</v>
      </c>
      <c r="F83" s="13" t="s">
        <v>57</v>
      </c>
      <c r="G83" s="14"/>
      <c r="H83" s="15">
        <f t="shared" si="236"/>
        <v>0</v>
      </c>
      <c r="I83" s="14"/>
      <c r="J83" s="15">
        <f t="shared" si="237"/>
        <v>0</v>
      </c>
      <c r="K83" s="14"/>
      <c r="L83" s="15">
        <f t="shared" si="238"/>
        <v>0</v>
      </c>
      <c r="M83" s="14"/>
      <c r="N83" s="15">
        <f t="shared" si="239"/>
        <v>0</v>
      </c>
      <c r="O83" s="16">
        <f t="shared" si="196"/>
        <v>10</v>
      </c>
      <c r="P83" s="16">
        <f t="shared" si="197"/>
        <v>-5</v>
      </c>
      <c r="Q83" s="16">
        <f t="shared" si="223"/>
        <v>5</v>
      </c>
      <c r="R83" s="14"/>
      <c r="S83" s="15">
        <f t="shared" si="240"/>
        <v>0</v>
      </c>
      <c r="T83" s="14"/>
      <c r="U83" s="15">
        <f t="shared" si="241"/>
        <v>0</v>
      </c>
      <c r="V83" s="16">
        <f t="shared" si="242"/>
        <v>0</v>
      </c>
      <c r="W83" s="17">
        <f t="shared" si="243"/>
        <v>0</v>
      </c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29</v>
      </c>
      <c r="D84" s="21" t="str">
        <f>Spieltag!B71</f>
        <v>Paris Brunner</v>
      </c>
      <c r="E84" s="12" t="str">
        <f>Spieltag!C71</f>
        <v>Sturm</v>
      </c>
      <c r="F84" s="13" t="s">
        <v>57</v>
      </c>
      <c r="G84" s="14"/>
      <c r="H84" s="15">
        <f t="shared" ref="H84" si="252">IF(G84="x",10,0)</f>
        <v>0</v>
      </c>
      <c r="I84" s="14"/>
      <c r="J84" s="15">
        <f t="shared" ref="J84" si="253">IF((I84="x"),-10,0)</f>
        <v>0</v>
      </c>
      <c r="K84" s="14"/>
      <c r="L84" s="15">
        <f t="shared" ref="L84" si="254">IF((K84="x"),-20,0)</f>
        <v>0</v>
      </c>
      <c r="M84" s="14"/>
      <c r="N84" s="15">
        <f t="shared" ref="N84" si="255">IF((M84="x"),-30,0)</f>
        <v>0</v>
      </c>
      <c r="O84" s="16">
        <f t="shared" si="196"/>
        <v>10</v>
      </c>
      <c r="P84" s="16">
        <f t="shared" si="197"/>
        <v>-5</v>
      </c>
      <c r="Q84" s="16">
        <f t="shared" si="223"/>
        <v>5</v>
      </c>
      <c r="R84" s="14"/>
      <c r="S84" s="15">
        <f t="shared" ref="S84" si="256">R84*10</f>
        <v>0</v>
      </c>
      <c r="T84" s="14"/>
      <c r="U84" s="15">
        <f t="shared" ref="U84" si="257">T84*-15</f>
        <v>0</v>
      </c>
      <c r="V84" s="16">
        <f t="shared" ref="V84" si="258">IF(AND(R84=2),10,IF(R84=3,30,IF(R84=4,50,IF(R84=5,70,0))))</f>
        <v>0</v>
      </c>
      <c r="W84" s="17">
        <f t="shared" ref="W84" si="259">IF(G84="x",H84+J84+L84+N84+O84+P84+Q84+S84+U84+V84,0)</f>
        <v>0</v>
      </c>
    </row>
    <row r="85" spans="1:23" ht="10.5" hidden="1" customHeight="1" x14ac:dyDescent="0.2">
      <c r="A85" s="11"/>
      <c r="B85" s="149">
        <f>COUNTA(Spieltag!K72:AA72)</f>
        <v>0</v>
      </c>
      <c r="C85" s="166">
        <f>Spieltag!A72</f>
        <v>43</v>
      </c>
      <c r="D85" s="21" t="str">
        <f>Spieltag!B72</f>
        <v>Jamie Bynoe-Gittens (A)</v>
      </c>
      <c r="E85" s="12" t="str">
        <f>Spieltag!C72</f>
        <v>Sturm</v>
      </c>
      <c r="F85" s="13" t="s">
        <v>57</v>
      </c>
      <c r="G85" s="14"/>
      <c r="H85" s="15">
        <f t="shared" si="236"/>
        <v>0</v>
      </c>
      <c r="I85" s="14"/>
      <c r="J85" s="15">
        <f t="shared" si="237"/>
        <v>0</v>
      </c>
      <c r="K85" s="14"/>
      <c r="L85" s="15">
        <f t="shared" si="238"/>
        <v>0</v>
      </c>
      <c r="M85" s="14"/>
      <c r="N85" s="15">
        <f t="shared" si="239"/>
        <v>0</v>
      </c>
      <c r="O85" s="16">
        <f t="shared" si="196"/>
        <v>10</v>
      </c>
      <c r="P85" s="16">
        <f t="shared" si="197"/>
        <v>-5</v>
      </c>
      <c r="Q85" s="16">
        <f t="shared" si="223"/>
        <v>5</v>
      </c>
      <c r="R85" s="14"/>
      <c r="S85" s="15">
        <f t="shared" si="240"/>
        <v>0</v>
      </c>
      <c r="T85" s="14"/>
      <c r="U85" s="15">
        <f t="shared" si="241"/>
        <v>0</v>
      </c>
      <c r="V85" s="16">
        <f t="shared" si="242"/>
        <v>0</v>
      </c>
      <c r="W85" s="17">
        <f t="shared" si="243"/>
        <v>0</v>
      </c>
    </row>
    <row r="86" spans="1:23" s="144" customFormat="1" ht="17.25" thickBot="1" x14ac:dyDescent="0.25">
      <c r="A86" s="142"/>
      <c r="B86" s="143">
        <f>SUM(B87:B112)</f>
        <v>13</v>
      </c>
      <c r="C86" s="158"/>
      <c r="D86" s="234" t="s">
        <v>128</v>
      </c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5"/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1</v>
      </c>
      <c r="D87" s="21" t="str">
        <f>Spieltag!B74</f>
        <v>Péter Gulácsi (A)</v>
      </c>
      <c r="E87" s="12" t="str">
        <f>Spieltag!C74</f>
        <v>Torwart</v>
      </c>
      <c r="F87" s="13" t="s">
        <v>134</v>
      </c>
      <c r="G87" s="14"/>
      <c r="H87" s="15">
        <f>IF(G87="x",10,0)</f>
        <v>0</v>
      </c>
      <c r="I87" s="14"/>
      <c r="J87" s="15">
        <f>IF((I87="x"),-10,0)</f>
        <v>0</v>
      </c>
      <c r="K87" s="14"/>
      <c r="L87" s="15">
        <f>IF((K87="x"),-20,0)</f>
        <v>0</v>
      </c>
      <c r="M87" s="14"/>
      <c r="N87" s="15">
        <f>IF((M87="x"),-30,0)</f>
        <v>0</v>
      </c>
      <c r="O87" s="16">
        <f t="shared" ref="O87:O108" si="260">IF(AND($P$8&gt;$Q$8),20,IF($P$8=$Q$8,10,0))</f>
        <v>20</v>
      </c>
      <c r="P87" s="16">
        <f t="shared" ref="P87:P108" si="261">IF(($P$8&lt;&gt;0),$P$8*10,-5)</f>
        <v>20</v>
      </c>
      <c r="Q87" s="16">
        <f>IF(($Q$8&lt;&gt;0),$Q$8*-10,20)</f>
        <v>20</v>
      </c>
      <c r="R87" s="14"/>
      <c r="S87" s="15">
        <f>R87*20</f>
        <v>0</v>
      </c>
      <c r="T87" s="14"/>
      <c r="U87" s="15">
        <f>T87*-15</f>
        <v>0</v>
      </c>
      <c r="V87" s="16">
        <f t="shared" ref="V87" si="262">IF(AND(R87=2),10,IF(R87=3,30,IF(R87=4,50,IF(R87=5,70,0))))</f>
        <v>0</v>
      </c>
      <c r="W87" s="17">
        <f t="shared" ref="W87" si="263">IF(G87="x",H87+J87+L87+N87+O87+P87+Q87+S87+U87+V87,0)</f>
        <v>0</v>
      </c>
    </row>
    <row r="88" spans="1:23" ht="10.5" customHeight="1" x14ac:dyDescent="0.2">
      <c r="A88" s="11"/>
      <c r="B88" s="149">
        <f>COUNTA(Spieltag!K75:AA75)</f>
        <v>2</v>
      </c>
      <c r="C88" s="166">
        <f>Spieltag!A75</f>
        <v>21</v>
      </c>
      <c r="D88" s="21" t="str">
        <f>Spieltag!B75</f>
        <v>Janis Blaswich</v>
      </c>
      <c r="E88" s="12" t="str">
        <f>Spieltag!C75</f>
        <v>Torwart</v>
      </c>
      <c r="F88" s="13" t="s">
        <v>134</v>
      </c>
      <c r="G88" s="14" t="s">
        <v>59</v>
      </c>
      <c r="H88" s="15">
        <f>IF(G88="x",10,0)</f>
        <v>0</v>
      </c>
      <c r="I88" s="14"/>
      <c r="J88" s="15">
        <f>IF((I88="x"),-10,0)</f>
        <v>0</v>
      </c>
      <c r="K88" s="14"/>
      <c r="L88" s="15">
        <f>IF((K88="x"),-20,0)</f>
        <v>0</v>
      </c>
      <c r="M88" s="14"/>
      <c r="N88" s="15">
        <f>IF((M88="x"),-30,0)</f>
        <v>0</v>
      </c>
      <c r="O88" s="16">
        <f t="shared" si="260"/>
        <v>20</v>
      </c>
      <c r="P88" s="16">
        <f t="shared" si="261"/>
        <v>20</v>
      </c>
      <c r="Q88" s="16">
        <f>IF(($Q$8&lt;&gt;0),$Q$8*-10,20)</f>
        <v>20</v>
      </c>
      <c r="R88" s="14"/>
      <c r="S88" s="15">
        <f>R88*20</f>
        <v>0</v>
      </c>
      <c r="T88" s="14"/>
      <c r="U88" s="15">
        <f>T88*-15</f>
        <v>0</v>
      </c>
      <c r="V88" s="16">
        <f t="shared" ref="V88:V91" si="264">IF(AND(R88=2),10,IF(R88=3,30,IF(R88=4,50,IF(R88=5,70,0))))</f>
        <v>0</v>
      </c>
      <c r="W88" s="17">
        <f t="shared" ref="W88:W91" si="265">IF(G88="x",H88+J88+L88+N88+O88+P88+Q88+S88+U88+V88,0)</f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25</v>
      </c>
      <c r="D89" s="21" t="str">
        <f>Spieltag!B76</f>
        <v>Leopold Zingerle</v>
      </c>
      <c r="E89" s="12" t="str">
        <f>Spieltag!C76</f>
        <v>Torwart</v>
      </c>
      <c r="F89" s="13" t="s">
        <v>134</v>
      </c>
      <c r="G89" s="14"/>
      <c r="H89" s="15">
        <f t="shared" ref="H89" si="266">IF(G89="x",10,0)</f>
        <v>0</v>
      </c>
      <c r="I89" s="14"/>
      <c r="J89" s="15">
        <f t="shared" ref="J89" si="267">IF((I89="x"),-10,0)</f>
        <v>0</v>
      </c>
      <c r="K89" s="14"/>
      <c r="L89" s="15">
        <f t="shared" ref="L89" si="268">IF((K89="x"),-20,0)</f>
        <v>0</v>
      </c>
      <c r="M89" s="14"/>
      <c r="N89" s="15">
        <f t="shared" ref="N89" si="269">IF((M89="x"),-30,0)</f>
        <v>0</v>
      </c>
      <c r="O89" s="16">
        <f t="shared" si="260"/>
        <v>20</v>
      </c>
      <c r="P89" s="16">
        <f t="shared" si="261"/>
        <v>20</v>
      </c>
      <c r="Q89" s="16">
        <f t="shared" ref="Q89:Q90" si="270">IF(($Q$8&lt;&gt;0),$Q$8*-10,20)</f>
        <v>20</v>
      </c>
      <c r="R89" s="14"/>
      <c r="S89" s="15">
        <f t="shared" ref="S89" si="271">R89*20</f>
        <v>0</v>
      </c>
      <c r="T89" s="14"/>
      <c r="U89" s="15">
        <f t="shared" ref="U89" si="272">T89*-15</f>
        <v>0</v>
      </c>
      <c r="V89" s="16">
        <f t="shared" ref="V89" si="273">IF(AND(R89=2),10,IF(R89=3,30,IF(R89=4,50,IF(R89=5,70,0))))</f>
        <v>0</v>
      </c>
      <c r="W89" s="17">
        <f t="shared" ref="W89" si="274">IF(G89="x",H89+J89+L89+N89+O89+P89+Q89+S89+U89+V89,0)</f>
        <v>0</v>
      </c>
    </row>
    <row r="90" spans="1:23" ht="10.5" hidden="1" customHeight="1" x14ac:dyDescent="0.2">
      <c r="A90" s="11"/>
      <c r="B90" s="149">
        <f>COUNTA(Spieltag!K77:AA77)</f>
        <v>0</v>
      </c>
      <c r="C90" s="166">
        <f>Spieltag!A77</f>
        <v>36</v>
      </c>
      <c r="D90" s="21" t="str">
        <f>Spieltag!B77</f>
        <v>Timo Schlieck</v>
      </c>
      <c r="E90" s="12" t="str">
        <f>Spieltag!C77</f>
        <v>Torwart</v>
      </c>
      <c r="F90" s="13" t="s">
        <v>134</v>
      </c>
      <c r="G90" s="14"/>
      <c r="H90" s="15">
        <f t="shared" ref="H90:H91" si="275">IF(G90="x",10,0)</f>
        <v>0</v>
      </c>
      <c r="I90" s="14"/>
      <c r="J90" s="15">
        <f t="shared" ref="J90:J91" si="276">IF((I90="x"),-10,0)</f>
        <v>0</v>
      </c>
      <c r="K90" s="14"/>
      <c r="L90" s="15">
        <f t="shared" ref="L90:L91" si="277">IF((K90="x"),-20,0)</f>
        <v>0</v>
      </c>
      <c r="M90" s="14"/>
      <c r="N90" s="15">
        <f t="shared" ref="N90:N91" si="278">IF((M90="x"),-30,0)</f>
        <v>0</v>
      </c>
      <c r="O90" s="16">
        <f t="shared" si="260"/>
        <v>20</v>
      </c>
      <c r="P90" s="16">
        <f t="shared" si="261"/>
        <v>20</v>
      </c>
      <c r="Q90" s="16">
        <f t="shared" si="270"/>
        <v>20</v>
      </c>
      <c r="R90" s="14"/>
      <c r="S90" s="15">
        <f t="shared" ref="S90" si="279">R90*20</f>
        <v>0</v>
      </c>
      <c r="T90" s="14"/>
      <c r="U90" s="15">
        <f t="shared" ref="U90:U91" si="280">T90*-15</f>
        <v>0</v>
      </c>
      <c r="V90" s="16">
        <f t="shared" si="264"/>
        <v>0</v>
      </c>
      <c r="W90" s="17">
        <f t="shared" si="265"/>
        <v>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2</v>
      </c>
      <c r="D91" s="21" t="str">
        <f>Spieltag!B78</f>
        <v>Mohamed Simakan (A)</v>
      </c>
      <c r="E91" s="12" t="str">
        <f>Spieltag!C78</f>
        <v>Abwehr</v>
      </c>
      <c r="F91" s="13" t="s">
        <v>134</v>
      </c>
      <c r="G91" s="14"/>
      <c r="H91" s="15">
        <f t="shared" si="275"/>
        <v>0</v>
      </c>
      <c r="I91" s="14"/>
      <c r="J91" s="15">
        <f t="shared" si="276"/>
        <v>0</v>
      </c>
      <c r="K91" s="14"/>
      <c r="L91" s="15">
        <f t="shared" si="277"/>
        <v>0</v>
      </c>
      <c r="M91" s="14"/>
      <c r="N91" s="15">
        <f t="shared" si="278"/>
        <v>0</v>
      </c>
      <c r="O91" s="16">
        <f t="shared" si="260"/>
        <v>20</v>
      </c>
      <c r="P91" s="16">
        <f t="shared" si="261"/>
        <v>20</v>
      </c>
      <c r="Q91" s="16">
        <f t="shared" ref="Q91:Q99" si="281">IF(($Q$8&lt;&gt;0),$Q$8*-10,15)</f>
        <v>15</v>
      </c>
      <c r="R91" s="14"/>
      <c r="S91" s="15">
        <f t="shared" ref="S91" si="282">R91*15</f>
        <v>0</v>
      </c>
      <c r="T91" s="14"/>
      <c r="U91" s="15">
        <f t="shared" si="280"/>
        <v>0</v>
      </c>
      <c r="V91" s="16">
        <f t="shared" si="264"/>
        <v>0</v>
      </c>
      <c r="W91" s="17">
        <f t="shared" si="265"/>
        <v>0</v>
      </c>
    </row>
    <row r="92" spans="1:23" ht="10.5" hidden="1" customHeight="1" x14ac:dyDescent="0.2">
      <c r="A92" s="11"/>
      <c r="B92" s="149">
        <f>COUNTA(Spieltag!K79:AA79)</f>
        <v>0</v>
      </c>
      <c r="C92" s="166">
        <f>Spieltag!A79</f>
        <v>3</v>
      </c>
      <c r="D92" s="21" t="str">
        <f>Spieltag!B79</f>
        <v>Christopher Lenz</v>
      </c>
      <c r="E92" s="12" t="str">
        <f>Spieltag!C79</f>
        <v>Abwehr</v>
      </c>
      <c r="F92" s="13" t="s">
        <v>134</v>
      </c>
      <c r="G92" s="14"/>
      <c r="H92" s="15">
        <f t="shared" ref="H92" si="283">IF(G92="x",10,0)</f>
        <v>0</v>
      </c>
      <c r="I92" s="14"/>
      <c r="J92" s="15">
        <f t="shared" ref="J92" si="284">IF((I92="x"),-10,0)</f>
        <v>0</v>
      </c>
      <c r="K92" s="14"/>
      <c r="L92" s="15">
        <f t="shared" ref="L92" si="285">IF((K92="x"),-20,0)</f>
        <v>0</v>
      </c>
      <c r="M92" s="14"/>
      <c r="N92" s="15">
        <f t="shared" ref="N92" si="286">IF((M92="x"),-30,0)</f>
        <v>0</v>
      </c>
      <c r="O92" s="16">
        <f t="shared" si="260"/>
        <v>20</v>
      </c>
      <c r="P92" s="16">
        <f t="shared" si="261"/>
        <v>20</v>
      </c>
      <c r="Q92" s="16">
        <f t="shared" si="281"/>
        <v>15</v>
      </c>
      <c r="R92" s="14"/>
      <c r="S92" s="15">
        <f t="shared" ref="S92" si="287">R92*15</f>
        <v>0</v>
      </c>
      <c r="T92" s="14"/>
      <c r="U92" s="15">
        <f t="shared" ref="U92" si="288">T92*-15</f>
        <v>0</v>
      </c>
      <c r="V92" s="16">
        <f t="shared" ref="V92" si="289">IF(AND(R92=2),10,IF(R92=3,30,IF(R92=4,50,IF(R92=5,70,0))))</f>
        <v>0</v>
      </c>
      <c r="W92" s="17">
        <f t="shared" ref="W92" si="290">IF(G92="x",H92+J92+L92+N92+O92+P92+Q92+S92+U92+V92,0)</f>
        <v>0</v>
      </c>
    </row>
    <row r="93" spans="1:23" ht="10.5" hidden="1" customHeight="1" x14ac:dyDescent="0.2">
      <c r="A93" s="11"/>
      <c r="B93" s="149">
        <f>COUNTA(Spieltag!K80:AA80)</f>
        <v>0</v>
      </c>
      <c r="C93" s="166">
        <f>Spieltag!A80</f>
        <v>4</v>
      </c>
      <c r="D93" s="21" t="str">
        <f>Spieltag!B80</f>
        <v>Willi Orban</v>
      </c>
      <c r="E93" s="12" t="str">
        <f>Spieltag!C80</f>
        <v>Abwehr</v>
      </c>
      <c r="F93" s="13" t="s">
        <v>134</v>
      </c>
      <c r="G93" s="14"/>
      <c r="H93" s="15">
        <f t="shared" ref="H93:H99" si="291">IF(G93="x",10,0)</f>
        <v>0</v>
      </c>
      <c r="I93" s="14"/>
      <c r="J93" s="15">
        <f t="shared" ref="J93:J99" si="292">IF((I93="x"),-10,0)</f>
        <v>0</v>
      </c>
      <c r="K93" s="14"/>
      <c r="L93" s="15">
        <f t="shared" ref="L93:L99" si="293">IF((K93="x"),-20,0)</f>
        <v>0</v>
      </c>
      <c r="M93" s="14"/>
      <c r="N93" s="15">
        <f t="shared" ref="N93:N99" si="294">IF((M93="x"),-30,0)</f>
        <v>0</v>
      </c>
      <c r="O93" s="16">
        <f t="shared" si="260"/>
        <v>20</v>
      </c>
      <c r="P93" s="16">
        <f t="shared" si="261"/>
        <v>20</v>
      </c>
      <c r="Q93" s="16">
        <f t="shared" si="281"/>
        <v>15</v>
      </c>
      <c r="R93" s="14"/>
      <c r="S93" s="15">
        <f t="shared" ref="S93:S99" si="295">R93*15</f>
        <v>0</v>
      </c>
      <c r="T93" s="14"/>
      <c r="U93" s="15">
        <f t="shared" ref="U93:U99" si="296">T93*-15</f>
        <v>0</v>
      </c>
      <c r="V93" s="16">
        <f t="shared" ref="V93:V99" si="297">IF(AND(R93=2),10,IF(R93=3,30,IF(R93=4,50,IF(R93=5,70,0))))</f>
        <v>0</v>
      </c>
      <c r="W93" s="17">
        <f t="shared" ref="W93:W99" si="298">IF(G93="x",H93+J93+L93+N93+O93+P93+Q93+S93+U93+V93,0)</f>
        <v>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5</v>
      </c>
      <c r="D94" s="21" t="str">
        <f>Spieltag!B81</f>
        <v>El Chadaille Bitshiabu (A)</v>
      </c>
      <c r="E94" s="12" t="str">
        <f>Spieltag!C81</f>
        <v>Abwehr</v>
      </c>
      <c r="F94" s="13" t="s">
        <v>134</v>
      </c>
      <c r="G94" s="14"/>
      <c r="H94" s="15">
        <f t="shared" si="291"/>
        <v>0</v>
      </c>
      <c r="I94" s="14"/>
      <c r="J94" s="15">
        <f t="shared" si="292"/>
        <v>0</v>
      </c>
      <c r="K94" s="14"/>
      <c r="L94" s="15">
        <f t="shared" si="293"/>
        <v>0</v>
      </c>
      <c r="M94" s="14"/>
      <c r="N94" s="15">
        <f t="shared" si="294"/>
        <v>0</v>
      </c>
      <c r="O94" s="16">
        <f t="shared" si="260"/>
        <v>20</v>
      </c>
      <c r="P94" s="16">
        <f t="shared" si="261"/>
        <v>20</v>
      </c>
      <c r="Q94" s="16">
        <f t="shared" si="281"/>
        <v>15</v>
      </c>
      <c r="R94" s="14"/>
      <c r="S94" s="15">
        <f t="shared" si="295"/>
        <v>0</v>
      </c>
      <c r="T94" s="14"/>
      <c r="U94" s="15">
        <f t="shared" si="296"/>
        <v>0</v>
      </c>
      <c r="V94" s="16">
        <f t="shared" si="297"/>
        <v>0</v>
      </c>
      <c r="W94" s="17">
        <f t="shared" si="298"/>
        <v>0</v>
      </c>
    </row>
    <row r="95" spans="1:23" ht="10.5" hidden="1" customHeight="1" x14ac:dyDescent="0.2">
      <c r="A95" s="11"/>
      <c r="B95" s="149">
        <f>COUNTA(Spieltag!K82:AA82)</f>
        <v>0</v>
      </c>
      <c r="C95" s="166">
        <f>Spieltag!A82</f>
        <v>16</v>
      </c>
      <c r="D95" s="21" t="str">
        <f>Spieltag!B82</f>
        <v>Lukas Klostermann</v>
      </c>
      <c r="E95" s="12" t="str">
        <f>Spieltag!C82</f>
        <v>Abwehr</v>
      </c>
      <c r="F95" s="13" t="s">
        <v>134</v>
      </c>
      <c r="G95" s="14"/>
      <c r="H95" s="15">
        <f t="shared" si="291"/>
        <v>0</v>
      </c>
      <c r="I95" s="14"/>
      <c r="J95" s="15">
        <f t="shared" si="292"/>
        <v>0</v>
      </c>
      <c r="K95" s="14"/>
      <c r="L95" s="15">
        <f t="shared" si="293"/>
        <v>0</v>
      </c>
      <c r="M95" s="14"/>
      <c r="N95" s="15">
        <f t="shared" si="294"/>
        <v>0</v>
      </c>
      <c r="O95" s="16">
        <f t="shared" si="260"/>
        <v>20</v>
      </c>
      <c r="P95" s="16">
        <f t="shared" si="261"/>
        <v>20</v>
      </c>
      <c r="Q95" s="16">
        <f t="shared" si="281"/>
        <v>15</v>
      </c>
      <c r="R95" s="14"/>
      <c r="S95" s="15">
        <f t="shared" si="295"/>
        <v>0</v>
      </c>
      <c r="T95" s="14"/>
      <c r="U95" s="15">
        <f t="shared" si="296"/>
        <v>0</v>
      </c>
      <c r="V95" s="16">
        <f t="shared" si="297"/>
        <v>0</v>
      </c>
      <c r="W95" s="17">
        <f t="shared" si="298"/>
        <v>0</v>
      </c>
    </row>
    <row r="96" spans="1:23" ht="10.5" customHeight="1" x14ac:dyDescent="0.2">
      <c r="A96" s="11"/>
      <c r="B96" s="149">
        <f>COUNTA(Spieltag!K83:AA83)</f>
        <v>6</v>
      </c>
      <c r="C96" s="166">
        <f>Spieltag!A83</f>
        <v>22</v>
      </c>
      <c r="D96" s="21" t="str">
        <f>Spieltag!B83</f>
        <v>David Raum</v>
      </c>
      <c r="E96" s="12" t="str">
        <f>Spieltag!C83</f>
        <v>Abwehr</v>
      </c>
      <c r="F96" s="13" t="s">
        <v>134</v>
      </c>
      <c r="G96" s="14" t="s">
        <v>675</v>
      </c>
      <c r="H96" s="15">
        <f t="shared" si="291"/>
        <v>10</v>
      </c>
      <c r="I96" s="14"/>
      <c r="J96" s="15">
        <f t="shared" si="292"/>
        <v>0</v>
      </c>
      <c r="K96" s="14"/>
      <c r="L96" s="15">
        <f t="shared" si="293"/>
        <v>0</v>
      </c>
      <c r="M96" s="14"/>
      <c r="N96" s="15">
        <f t="shared" si="294"/>
        <v>0</v>
      </c>
      <c r="O96" s="16">
        <f t="shared" si="260"/>
        <v>20</v>
      </c>
      <c r="P96" s="16">
        <f t="shared" si="261"/>
        <v>20</v>
      </c>
      <c r="Q96" s="16">
        <f t="shared" si="281"/>
        <v>15</v>
      </c>
      <c r="R96" s="14"/>
      <c r="S96" s="15">
        <f t="shared" si="295"/>
        <v>0</v>
      </c>
      <c r="T96" s="14"/>
      <c r="U96" s="15">
        <f t="shared" si="296"/>
        <v>0</v>
      </c>
      <c r="V96" s="16">
        <f t="shared" si="297"/>
        <v>0</v>
      </c>
      <c r="W96" s="17">
        <f t="shared" si="298"/>
        <v>65</v>
      </c>
    </row>
    <row r="97" spans="1:23" ht="10.5" hidden="1" customHeight="1" x14ac:dyDescent="0.2">
      <c r="A97" s="11"/>
      <c r="B97" s="149">
        <f>COUNTA(Spieltag!K84:AA84)</f>
        <v>0</v>
      </c>
      <c r="C97" s="166">
        <f>Spieltag!A84</f>
        <v>23</v>
      </c>
      <c r="D97" s="21" t="str">
        <f>Spieltag!B84</f>
        <v>Castello Lukeba (A)</v>
      </c>
      <c r="E97" s="12" t="str">
        <f>Spieltag!C84</f>
        <v>Abwehr</v>
      </c>
      <c r="F97" s="13" t="s">
        <v>134</v>
      </c>
      <c r="G97" s="14"/>
      <c r="H97" s="15">
        <f t="shared" si="291"/>
        <v>0</v>
      </c>
      <c r="I97" s="14"/>
      <c r="J97" s="15">
        <f t="shared" si="292"/>
        <v>0</v>
      </c>
      <c r="K97" s="14"/>
      <c r="L97" s="15">
        <f t="shared" si="293"/>
        <v>0</v>
      </c>
      <c r="M97" s="14"/>
      <c r="N97" s="15">
        <f t="shared" si="294"/>
        <v>0</v>
      </c>
      <c r="O97" s="16">
        <f t="shared" si="260"/>
        <v>20</v>
      </c>
      <c r="P97" s="16">
        <f t="shared" si="261"/>
        <v>20</v>
      </c>
      <c r="Q97" s="16">
        <f t="shared" si="281"/>
        <v>15</v>
      </c>
      <c r="R97" s="14"/>
      <c r="S97" s="15">
        <f t="shared" si="295"/>
        <v>0</v>
      </c>
      <c r="T97" s="14"/>
      <c r="U97" s="15">
        <f t="shared" si="296"/>
        <v>0</v>
      </c>
      <c r="V97" s="16">
        <f t="shared" si="297"/>
        <v>0</v>
      </c>
      <c r="W97" s="17">
        <f t="shared" si="298"/>
        <v>0</v>
      </c>
    </row>
    <row r="98" spans="1:23" ht="10.5" hidden="1" customHeight="1" x14ac:dyDescent="0.2">
      <c r="A98" s="11"/>
      <c r="B98" s="149">
        <f>COUNTA(Spieltag!K85:AA85)</f>
        <v>0</v>
      </c>
      <c r="C98" s="166">
        <f>Spieltag!A85</f>
        <v>31</v>
      </c>
      <c r="D98" s="21" t="str">
        <f>Spieltag!B85</f>
        <v>Tim Köhler</v>
      </c>
      <c r="E98" s="12" t="str">
        <f>Spieltag!C85</f>
        <v>Abwehr</v>
      </c>
      <c r="F98" s="13" t="s">
        <v>134</v>
      </c>
      <c r="G98" s="14"/>
      <c r="H98" s="15">
        <f t="shared" ref="H98" si="299">IF(G98="x",10,0)</f>
        <v>0</v>
      </c>
      <c r="I98" s="14"/>
      <c r="J98" s="15">
        <f t="shared" ref="J98" si="300">IF((I98="x"),-10,0)</f>
        <v>0</v>
      </c>
      <c r="K98" s="14"/>
      <c r="L98" s="15">
        <f t="shared" ref="L98" si="301">IF((K98="x"),-20,0)</f>
        <v>0</v>
      </c>
      <c r="M98" s="14"/>
      <c r="N98" s="15">
        <f t="shared" ref="N98" si="302">IF((M98="x"),-30,0)</f>
        <v>0</v>
      </c>
      <c r="O98" s="16">
        <f t="shared" si="260"/>
        <v>20</v>
      </c>
      <c r="P98" s="16">
        <f t="shared" si="261"/>
        <v>20</v>
      </c>
      <c r="Q98" s="16">
        <f t="shared" si="281"/>
        <v>15</v>
      </c>
      <c r="R98" s="14"/>
      <c r="S98" s="15">
        <f t="shared" ref="S98" si="303">R98*15</f>
        <v>0</v>
      </c>
      <c r="T98" s="14"/>
      <c r="U98" s="15">
        <f t="shared" ref="U98" si="304">T98*-15</f>
        <v>0</v>
      </c>
      <c r="V98" s="16">
        <f t="shared" ref="V98" si="305">IF(AND(R98=2),10,IF(R98=3,30,IF(R98=4,50,IF(R98=5,70,0))))</f>
        <v>0</v>
      </c>
      <c r="W98" s="17">
        <f t="shared" ref="W98" si="306">IF(G98="x",H98+J98+L98+N98+O98+P98+Q98+S98+U98+V98,0)</f>
        <v>0</v>
      </c>
    </row>
    <row r="99" spans="1:23" ht="10.5" hidden="1" customHeight="1" x14ac:dyDescent="0.2">
      <c r="A99" s="11"/>
      <c r="B99" s="149">
        <f>COUNTA(Spieltag!K86:AA86)</f>
        <v>0</v>
      </c>
      <c r="C99" s="166">
        <f>Spieltag!A86</f>
        <v>39</v>
      </c>
      <c r="D99" s="21" t="str">
        <f>Spieltag!B86</f>
        <v>Benjamin Henrichs</v>
      </c>
      <c r="E99" s="12" t="str">
        <f>Spieltag!C86</f>
        <v>Abwehr</v>
      </c>
      <c r="F99" s="13" t="s">
        <v>134</v>
      </c>
      <c r="G99" s="14"/>
      <c r="H99" s="15">
        <f t="shared" si="291"/>
        <v>0</v>
      </c>
      <c r="I99" s="14"/>
      <c r="J99" s="15">
        <f t="shared" si="292"/>
        <v>0</v>
      </c>
      <c r="K99" s="14"/>
      <c r="L99" s="15">
        <f t="shared" si="293"/>
        <v>0</v>
      </c>
      <c r="M99" s="14"/>
      <c r="N99" s="15">
        <f t="shared" si="294"/>
        <v>0</v>
      </c>
      <c r="O99" s="16">
        <f t="shared" si="260"/>
        <v>20</v>
      </c>
      <c r="P99" s="16">
        <f t="shared" si="261"/>
        <v>20</v>
      </c>
      <c r="Q99" s="16">
        <f t="shared" si="281"/>
        <v>15</v>
      </c>
      <c r="R99" s="14"/>
      <c r="S99" s="15">
        <f t="shared" si="295"/>
        <v>0</v>
      </c>
      <c r="T99" s="14"/>
      <c r="U99" s="15">
        <f t="shared" si="296"/>
        <v>0</v>
      </c>
      <c r="V99" s="16">
        <f t="shared" si="297"/>
        <v>0</v>
      </c>
      <c r="W99" s="17">
        <f t="shared" si="298"/>
        <v>0</v>
      </c>
    </row>
    <row r="100" spans="1:23" ht="10.5" hidden="1" customHeight="1" x14ac:dyDescent="0.2">
      <c r="A100" s="11"/>
      <c r="B100" s="149">
        <f>COUNTA(Spieltag!K87:AA87)</f>
        <v>0</v>
      </c>
      <c r="C100" s="166">
        <f>Spieltag!A87</f>
        <v>6</v>
      </c>
      <c r="D100" s="21" t="str">
        <f>Spieltag!B87</f>
        <v>Eljif Elmans (A)</v>
      </c>
      <c r="E100" s="12" t="str">
        <f>Spieltag!C87</f>
        <v>Mittelfeld</v>
      </c>
      <c r="F100" s="13" t="s">
        <v>134</v>
      </c>
      <c r="G100" s="14"/>
      <c r="H100" s="15">
        <f t="shared" ref="H100" si="307">IF(G100="x",10,0)</f>
        <v>0</v>
      </c>
      <c r="I100" s="14"/>
      <c r="J100" s="15">
        <f t="shared" ref="J100" si="308">IF((I100="x"),-10,0)</f>
        <v>0</v>
      </c>
      <c r="K100" s="14"/>
      <c r="L100" s="15">
        <f t="shared" ref="L100" si="309">IF((K100="x"),-20,0)</f>
        <v>0</v>
      </c>
      <c r="M100" s="14"/>
      <c r="N100" s="15">
        <f t="shared" ref="N100" si="310">IF((M100="x"),-30,0)</f>
        <v>0</v>
      </c>
      <c r="O100" s="16">
        <f t="shared" si="260"/>
        <v>20</v>
      </c>
      <c r="P100" s="16">
        <f t="shared" si="261"/>
        <v>20</v>
      </c>
      <c r="Q100" s="16">
        <f t="shared" ref="Q100:Q108" si="311">IF(($Q$8&lt;&gt;0),$Q$8*-10,10)</f>
        <v>10</v>
      </c>
      <c r="R100" s="14"/>
      <c r="S100" s="15">
        <f t="shared" ref="S100" si="312">R100*10</f>
        <v>0</v>
      </c>
      <c r="T100" s="14"/>
      <c r="U100" s="15">
        <f t="shared" ref="U100" si="313">T100*-15</f>
        <v>0</v>
      </c>
      <c r="V100" s="16">
        <f t="shared" ref="V100" si="314">IF(AND(R100=2),10,IF(R100=3,30,IF(R100=4,50,IF(R100=5,70,0))))</f>
        <v>0</v>
      </c>
      <c r="W100" s="17">
        <f t="shared" ref="W100" si="315">IF(G100="x",H100+J100+L100+N100+O100+P100+Q100+S100+U100+V100,0)</f>
        <v>0</v>
      </c>
    </row>
    <row r="101" spans="1:23" ht="10.5" customHeight="1" x14ac:dyDescent="0.2">
      <c r="A101" s="11"/>
      <c r="B101" s="149">
        <f>COUNTA(Spieltag!K88:AA88)</f>
        <v>3</v>
      </c>
      <c r="C101" s="166">
        <f>Spieltag!A88</f>
        <v>7</v>
      </c>
      <c r="D101" s="21" t="str">
        <f>Spieltag!B88</f>
        <v>Dani Olmo (A)</v>
      </c>
      <c r="E101" s="12" t="str">
        <f>Spieltag!C88</f>
        <v>Mittelfeld</v>
      </c>
      <c r="F101" s="13" t="s">
        <v>134</v>
      </c>
      <c r="G101" s="14" t="s">
        <v>675</v>
      </c>
      <c r="H101" s="15">
        <f t="shared" ref="H101:H108" si="316">IF(G101="x",10,0)</f>
        <v>10</v>
      </c>
      <c r="I101" s="14"/>
      <c r="J101" s="15">
        <f t="shared" ref="J101:J108" si="317">IF((I101="x"),-10,0)</f>
        <v>0</v>
      </c>
      <c r="K101" s="14"/>
      <c r="L101" s="15">
        <f t="shared" ref="L101:L108" si="318">IF((K101="x"),-20,0)</f>
        <v>0</v>
      </c>
      <c r="M101" s="14"/>
      <c r="N101" s="15">
        <f t="shared" ref="N101:N108" si="319">IF((M101="x"),-30,0)</f>
        <v>0</v>
      </c>
      <c r="O101" s="16">
        <f t="shared" si="260"/>
        <v>20</v>
      </c>
      <c r="P101" s="16">
        <f t="shared" si="261"/>
        <v>20</v>
      </c>
      <c r="Q101" s="16">
        <f t="shared" si="311"/>
        <v>10</v>
      </c>
      <c r="R101" s="14"/>
      <c r="S101" s="15">
        <f t="shared" ref="S101:S108" si="320">R101*10</f>
        <v>0</v>
      </c>
      <c r="T101" s="14"/>
      <c r="U101" s="15">
        <f t="shared" ref="U101:U108" si="321">T101*-15</f>
        <v>0</v>
      </c>
      <c r="V101" s="16">
        <f t="shared" ref="V101:V108" si="322">IF(AND(R101=2),10,IF(R101=3,30,IF(R101=4,50,IF(R101=5,70,0))))</f>
        <v>0</v>
      </c>
      <c r="W101" s="17">
        <f t="shared" ref="W101:W108" si="323">IF(G101="x",H101+J101+L101+N101+O101+P101+Q101+S101+U101+V101,0)</f>
        <v>60</v>
      </c>
    </row>
    <row r="102" spans="1:23" ht="10.5" hidden="1" customHeight="1" x14ac:dyDescent="0.2">
      <c r="A102" s="11"/>
      <c r="B102" s="149">
        <f>COUNTA(Spieltag!K89:AA89)</f>
        <v>0</v>
      </c>
      <c r="C102" s="166">
        <f>Spieltag!A89</f>
        <v>8</v>
      </c>
      <c r="D102" s="21" t="str">
        <f>Spieltag!B89</f>
        <v>Amadou Haidara (A)</v>
      </c>
      <c r="E102" s="12" t="str">
        <f>Spieltag!C89</f>
        <v>Mittelfeld</v>
      </c>
      <c r="F102" s="13" t="s">
        <v>134</v>
      </c>
      <c r="G102" s="14"/>
      <c r="H102" s="15">
        <f t="shared" si="316"/>
        <v>0</v>
      </c>
      <c r="I102" s="14"/>
      <c r="J102" s="15">
        <f t="shared" si="317"/>
        <v>0</v>
      </c>
      <c r="K102" s="14"/>
      <c r="L102" s="15">
        <f t="shared" si="318"/>
        <v>0</v>
      </c>
      <c r="M102" s="14"/>
      <c r="N102" s="15">
        <f t="shared" si="319"/>
        <v>0</v>
      </c>
      <c r="O102" s="16">
        <f t="shared" si="260"/>
        <v>20</v>
      </c>
      <c r="P102" s="16">
        <f t="shared" si="261"/>
        <v>20</v>
      </c>
      <c r="Q102" s="16">
        <f t="shared" si="311"/>
        <v>10</v>
      </c>
      <c r="R102" s="14"/>
      <c r="S102" s="15">
        <f t="shared" si="320"/>
        <v>0</v>
      </c>
      <c r="T102" s="14"/>
      <c r="U102" s="15">
        <f t="shared" si="321"/>
        <v>0</v>
      </c>
      <c r="V102" s="16">
        <f t="shared" si="322"/>
        <v>0</v>
      </c>
      <c r="W102" s="17">
        <f t="shared" si="323"/>
        <v>0</v>
      </c>
    </row>
    <row r="103" spans="1:23" ht="10.5" hidden="1" customHeight="1" x14ac:dyDescent="0.2">
      <c r="A103" s="11"/>
      <c r="B103" s="149">
        <f>COUNTA(Spieltag!K90:AA90)</f>
        <v>0</v>
      </c>
      <c r="C103" s="166">
        <f>Spieltag!A90</f>
        <v>13</v>
      </c>
      <c r="D103" s="21" t="str">
        <f>Spieltag!B90</f>
        <v>Nicolas Seiwald (A)</v>
      </c>
      <c r="E103" s="12" t="str">
        <f>Spieltag!C90</f>
        <v>Mittelfeld</v>
      </c>
      <c r="F103" s="13" t="s">
        <v>134</v>
      </c>
      <c r="G103" s="14"/>
      <c r="H103" s="15">
        <f t="shared" si="316"/>
        <v>0</v>
      </c>
      <c r="I103" s="14"/>
      <c r="J103" s="15">
        <f t="shared" si="317"/>
        <v>0</v>
      </c>
      <c r="K103" s="14"/>
      <c r="L103" s="15">
        <f t="shared" si="318"/>
        <v>0</v>
      </c>
      <c r="M103" s="14"/>
      <c r="N103" s="15">
        <f t="shared" si="319"/>
        <v>0</v>
      </c>
      <c r="O103" s="16">
        <f t="shared" si="260"/>
        <v>20</v>
      </c>
      <c r="P103" s="16">
        <f t="shared" si="261"/>
        <v>20</v>
      </c>
      <c r="Q103" s="16">
        <f t="shared" si="311"/>
        <v>10</v>
      </c>
      <c r="R103" s="14"/>
      <c r="S103" s="15">
        <f t="shared" si="320"/>
        <v>0</v>
      </c>
      <c r="T103" s="14"/>
      <c r="U103" s="15">
        <f t="shared" si="321"/>
        <v>0</v>
      </c>
      <c r="V103" s="16">
        <f t="shared" si="322"/>
        <v>0</v>
      </c>
      <c r="W103" s="17">
        <f t="shared" si="323"/>
        <v>0</v>
      </c>
    </row>
    <row r="104" spans="1:23" ht="10.5" customHeight="1" x14ac:dyDescent="0.2">
      <c r="A104" s="11"/>
      <c r="B104" s="149">
        <f>COUNTA(Spieltag!K91:AA91)</f>
        <v>1</v>
      </c>
      <c r="C104" s="166">
        <f>Spieltag!A91</f>
        <v>14</v>
      </c>
      <c r="D104" s="21" t="str">
        <f>Spieltag!B91</f>
        <v>Christoph Baumgartner (A)</v>
      </c>
      <c r="E104" s="12" t="str">
        <f>Spieltag!C91</f>
        <v>Mittelfeld</v>
      </c>
      <c r="F104" s="13" t="s">
        <v>134</v>
      </c>
      <c r="G104" s="14" t="s">
        <v>59</v>
      </c>
      <c r="H104" s="15">
        <f t="shared" si="316"/>
        <v>0</v>
      </c>
      <c r="I104" s="14"/>
      <c r="J104" s="15">
        <f t="shared" si="317"/>
        <v>0</v>
      </c>
      <c r="K104" s="14"/>
      <c r="L104" s="15">
        <f t="shared" si="318"/>
        <v>0</v>
      </c>
      <c r="M104" s="14"/>
      <c r="N104" s="15">
        <f t="shared" si="319"/>
        <v>0</v>
      </c>
      <c r="O104" s="16">
        <f t="shared" si="260"/>
        <v>20</v>
      </c>
      <c r="P104" s="16">
        <f t="shared" si="261"/>
        <v>20</v>
      </c>
      <c r="Q104" s="16">
        <f t="shared" si="311"/>
        <v>10</v>
      </c>
      <c r="R104" s="14"/>
      <c r="S104" s="15">
        <f t="shared" si="320"/>
        <v>0</v>
      </c>
      <c r="T104" s="14"/>
      <c r="U104" s="15">
        <f t="shared" si="321"/>
        <v>0</v>
      </c>
      <c r="V104" s="16">
        <f t="shared" si="322"/>
        <v>0</v>
      </c>
      <c r="W104" s="17">
        <f t="shared" si="323"/>
        <v>0</v>
      </c>
    </row>
    <row r="105" spans="1:23" ht="10.5" hidden="1" customHeight="1" x14ac:dyDescent="0.2">
      <c r="A105" s="11"/>
      <c r="B105" s="149">
        <f>COUNTA(Spieltag!K92:AA92)</f>
        <v>0</v>
      </c>
      <c r="C105" s="166">
        <f>Spieltag!A92</f>
        <v>20</v>
      </c>
      <c r="D105" s="21" t="str">
        <f>Spieltag!B92</f>
        <v>Xavi Simons (A)</v>
      </c>
      <c r="E105" s="12" t="str">
        <f>Spieltag!C92</f>
        <v>Mittelfeld</v>
      </c>
      <c r="F105" s="13" t="s">
        <v>134</v>
      </c>
      <c r="G105" s="14"/>
      <c r="H105" s="15">
        <f t="shared" si="316"/>
        <v>0</v>
      </c>
      <c r="I105" s="14"/>
      <c r="J105" s="15">
        <f t="shared" si="317"/>
        <v>0</v>
      </c>
      <c r="K105" s="14"/>
      <c r="L105" s="15">
        <f t="shared" si="318"/>
        <v>0</v>
      </c>
      <c r="M105" s="14"/>
      <c r="N105" s="15">
        <f t="shared" si="319"/>
        <v>0</v>
      </c>
      <c r="O105" s="16">
        <f t="shared" si="260"/>
        <v>20</v>
      </c>
      <c r="P105" s="16">
        <f t="shared" si="261"/>
        <v>20</v>
      </c>
      <c r="Q105" s="16">
        <f t="shared" si="311"/>
        <v>10</v>
      </c>
      <c r="R105" s="14"/>
      <c r="S105" s="15">
        <f t="shared" si="320"/>
        <v>0</v>
      </c>
      <c r="T105" s="14"/>
      <c r="U105" s="15">
        <f t="shared" si="321"/>
        <v>0</v>
      </c>
      <c r="V105" s="16">
        <f t="shared" si="322"/>
        <v>0</v>
      </c>
      <c r="W105" s="17">
        <f t="shared" si="323"/>
        <v>0</v>
      </c>
    </row>
    <row r="106" spans="1:23" ht="10.5" hidden="1" customHeight="1" x14ac:dyDescent="0.2">
      <c r="A106" s="11"/>
      <c r="B106" s="149">
        <f>COUNTA(Spieltag!K93:AA93)</f>
        <v>0</v>
      </c>
      <c r="C106" s="166">
        <f>Spieltag!A93</f>
        <v>24</v>
      </c>
      <c r="D106" s="21" t="str">
        <f>Spieltag!B93</f>
        <v>Xaver Schlager (A)</v>
      </c>
      <c r="E106" s="12" t="str">
        <f>Spieltag!C93</f>
        <v>Mittelfeld</v>
      </c>
      <c r="F106" s="13" t="s">
        <v>134</v>
      </c>
      <c r="G106" s="14"/>
      <c r="H106" s="15">
        <f t="shared" si="316"/>
        <v>0</v>
      </c>
      <c r="I106" s="14"/>
      <c r="J106" s="15">
        <f t="shared" si="317"/>
        <v>0</v>
      </c>
      <c r="K106" s="14"/>
      <c r="L106" s="15">
        <f t="shared" si="318"/>
        <v>0</v>
      </c>
      <c r="M106" s="14"/>
      <c r="N106" s="15">
        <f t="shared" si="319"/>
        <v>0</v>
      </c>
      <c r="O106" s="16">
        <f t="shared" si="260"/>
        <v>20</v>
      </c>
      <c r="P106" s="16">
        <f t="shared" si="261"/>
        <v>20</v>
      </c>
      <c r="Q106" s="16">
        <f t="shared" si="311"/>
        <v>10</v>
      </c>
      <c r="R106" s="14"/>
      <c r="S106" s="15">
        <f t="shared" si="320"/>
        <v>0</v>
      </c>
      <c r="T106" s="14"/>
      <c r="U106" s="15">
        <f t="shared" si="321"/>
        <v>0</v>
      </c>
      <c r="V106" s="16">
        <f t="shared" si="322"/>
        <v>0</v>
      </c>
      <c r="W106" s="17">
        <f t="shared" si="323"/>
        <v>0</v>
      </c>
    </row>
    <row r="107" spans="1:23" ht="10.5" hidden="1" customHeight="1" x14ac:dyDescent="0.2">
      <c r="A107" s="11"/>
      <c r="B107" s="149">
        <f>COUNTA(Spieltag!K94:AA94)</f>
        <v>0</v>
      </c>
      <c r="C107" s="166">
        <f>Spieltag!A94</f>
        <v>38</v>
      </c>
      <c r="D107" s="21" t="str">
        <f>Spieltag!B94</f>
        <v>Nuha Jatta</v>
      </c>
      <c r="E107" s="12" t="str">
        <f>Spieltag!C94</f>
        <v>Mittelfeld</v>
      </c>
      <c r="F107" s="13" t="s">
        <v>134</v>
      </c>
      <c r="G107" s="14"/>
      <c r="H107" s="15">
        <f t="shared" ref="H107" si="324">IF(G107="x",10,0)</f>
        <v>0</v>
      </c>
      <c r="I107" s="14"/>
      <c r="J107" s="15">
        <f t="shared" ref="J107" si="325">IF((I107="x"),-10,0)</f>
        <v>0</v>
      </c>
      <c r="K107" s="14"/>
      <c r="L107" s="15">
        <f t="shared" ref="L107" si="326">IF((K107="x"),-20,0)</f>
        <v>0</v>
      </c>
      <c r="M107" s="14"/>
      <c r="N107" s="15">
        <f t="shared" ref="N107" si="327">IF((M107="x"),-30,0)</f>
        <v>0</v>
      </c>
      <c r="O107" s="16">
        <f t="shared" si="260"/>
        <v>20</v>
      </c>
      <c r="P107" s="16">
        <f t="shared" si="261"/>
        <v>20</v>
      </c>
      <c r="Q107" s="16">
        <f t="shared" si="311"/>
        <v>10</v>
      </c>
      <c r="R107" s="14"/>
      <c r="S107" s="15">
        <f t="shared" ref="S107" si="328">R107*10</f>
        <v>0</v>
      </c>
      <c r="T107" s="14"/>
      <c r="U107" s="15">
        <f t="shared" ref="U107" si="329">T107*-15</f>
        <v>0</v>
      </c>
      <c r="V107" s="16">
        <f t="shared" ref="V107" si="330">IF(AND(R107=2),10,IF(R107=3,30,IF(R107=4,50,IF(R107=5,70,0))))</f>
        <v>0</v>
      </c>
      <c r="W107" s="17">
        <f t="shared" ref="W107" si="331">IF(G107="x",H107+J107+L107+N107+O107+P107+Q107+S107+U107+V107,0)</f>
        <v>0</v>
      </c>
    </row>
    <row r="108" spans="1:23" ht="10.5" hidden="1" customHeight="1" x14ac:dyDescent="0.2">
      <c r="A108" s="11"/>
      <c r="B108" s="149">
        <f>COUNTA(Spieltag!K95:AA95)</f>
        <v>0</v>
      </c>
      <c r="C108" s="166">
        <f>Spieltag!A95</f>
        <v>44</v>
      </c>
      <c r="D108" s="21" t="str">
        <f>Spieltag!B95</f>
        <v>Kevin Kampl (A)</v>
      </c>
      <c r="E108" s="12" t="str">
        <f>Spieltag!C95</f>
        <v>Mittelfeld</v>
      </c>
      <c r="F108" s="13" t="s">
        <v>134</v>
      </c>
      <c r="G108" s="14"/>
      <c r="H108" s="15">
        <f t="shared" si="316"/>
        <v>0</v>
      </c>
      <c r="I108" s="14"/>
      <c r="J108" s="15">
        <f t="shared" si="317"/>
        <v>0</v>
      </c>
      <c r="K108" s="14"/>
      <c r="L108" s="15">
        <f t="shared" si="318"/>
        <v>0</v>
      </c>
      <c r="M108" s="14"/>
      <c r="N108" s="15">
        <f t="shared" si="319"/>
        <v>0</v>
      </c>
      <c r="O108" s="16">
        <f t="shared" si="260"/>
        <v>20</v>
      </c>
      <c r="P108" s="16">
        <f t="shared" si="261"/>
        <v>20</v>
      </c>
      <c r="Q108" s="16">
        <f t="shared" si="311"/>
        <v>10</v>
      </c>
      <c r="R108" s="14"/>
      <c r="S108" s="15">
        <f t="shared" si="320"/>
        <v>0</v>
      </c>
      <c r="T108" s="14"/>
      <c r="U108" s="15">
        <f t="shared" si="321"/>
        <v>0</v>
      </c>
      <c r="V108" s="16">
        <f t="shared" si="322"/>
        <v>0</v>
      </c>
      <c r="W108" s="17">
        <f t="shared" si="323"/>
        <v>0</v>
      </c>
    </row>
    <row r="109" spans="1:23" ht="10.5" hidden="1" customHeight="1" x14ac:dyDescent="0.2">
      <c r="A109" s="11" t="s">
        <v>155</v>
      </c>
      <c r="B109" s="149">
        <f>COUNTA(Spieltag!K96:AA96)</f>
        <v>0</v>
      </c>
      <c r="C109" s="166">
        <f>Spieltag!A96</f>
        <v>9</v>
      </c>
      <c r="D109" s="21" t="str">
        <f>Spieltag!B96</f>
        <v>Yussuf Poulsen (A)</v>
      </c>
      <c r="E109" s="12" t="str">
        <f>Spieltag!C96</f>
        <v>Sturm</v>
      </c>
      <c r="F109" s="13" t="s">
        <v>134</v>
      </c>
      <c r="G109" s="14"/>
      <c r="H109" s="15">
        <f>IF(G109="x",10,0)</f>
        <v>0</v>
      </c>
      <c r="I109" s="14"/>
      <c r="J109" s="15">
        <f>IF((I109="x"),-10,0)</f>
        <v>0</v>
      </c>
      <c r="K109" s="14"/>
      <c r="L109" s="15">
        <f>IF((K109="x"),-20,0)</f>
        <v>0</v>
      </c>
      <c r="M109" s="14"/>
      <c r="N109" s="15">
        <f>IF((M109="x"),-30,0)</f>
        <v>0</v>
      </c>
      <c r="O109" s="16">
        <f>IF(AND($P$8&gt;$Q$8),20,IF($P$8=$Q$8,10,0))</f>
        <v>20</v>
      </c>
      <c r="P109" s="16">
        <f>IF(($P$8&lt;&gt;0),$P$8*10,-5)</f>
        <v>20</v>
      </c>
      <c r="Q109" s="16">
        <f>IF(($Q$8&lt;&gt;0),$Q$8*-10,5)</f>
        <v>5</v>
      </c>
      <c r="R109" s="14"/>
      <c r="S109" s="15">
        <f>R109*10</f>
        <v>0</v>
      </c>
      <c r="T109" s="14"/>
      <c r="U109" s="15">
        <f>T109*-15</f>
        <v>0</v>
      </c>
      <c r="V109" s="16">
        <f>IF(AND(R109=2),10,IF(R109=3,30,IF(R109=4,50,IF(R109=5,70,0))))</f>
        <v>0</v>
      </c>
      <c r="W109" s="17">
        <f>IF(G109="x",H109+J109+L109+N109+O109+P109+Q109+S109+U109+V109,0)</f>
        <v>0</v>
      </c>
    </row>
    <row r="110" spans="1:23" ht="10.5" customHeight="1" x14ac:dyDescent="0.2">
      <c r="A110" s="11" t="s">
        <v>155</v>
      </c>
      <c r="B110" s="149">
        <f>COUNTA(Spieltag!K97:AA97)</f>
        <v>1</v>
      </c>
      <c r="C110" s="166">
        <f>Spieltag!A97</f>
        <v>17</v>
      </c>
      <c r="D110" s="21" t="str">
        <f>Spieltag!B97</f>
        <v>Loїs Openda (A)</v>
      </c>
      <c r="E110" s="12" t="str">
        <f>Spieltag!C97</f>
        <v>Sturm</v>
      </c>
      <c r="F110" s="13" t="s">
        <v>134</v>
      </c>
      <c r="G110" s="14" t="s">
        <v>675</v>
      </c>
      <c r="H110" s="15">
        <f t="shared" ref="H110:H112" si="332">IF(G110="x",10,0)</f>
        <v>10</v>
      </c>
      <c r="I110" s="14"/>
      <c r="J110" s="15">
        <f t="shared" ref="J110:J112" si="333">IF((I110="x"),-10,0)</f>
        <v>0</v>
      </c>
      <c r="K110" s="14"/>
      <c r="L110" s="15">
        <f t="shared" ref="L110:L112" si="334">IF((K110="x"),-20,0)</f>
        <v>0</v>
      </c>
      <c r="M110" s="14"/>
      <c r="N110" s="15">
        <f t="shared" ref="N110:N112" si="335">IF((M110="x"),-30,0)</f>
        <v>0</v>
      </c>
      <c r="O110" s="16">
        <f t="shared" ref="O110:O112" si="336">IF(AND($P$8&gt;$Q$8),20,IF($P$8=$Q$8,10,0))</f>
        <v>20</v>
      </c>
      <c r="P110" s="16">
        <f t="shared" ref="P110:P112" si="337">IF(($P$8&lt;&gt;0),$P$8*10,-5)</f>
        <v>20</v>
      </c>
      <c r="Q110" s="16">
        <f t="shared" ref="Q110:Q112" si="338">IF(($Q$8&lt;&gt;0),$Q$8*-10,5)</f>
        <v>5</v>
      </c>
      <c r="R110" s="14">
        <v>1</v>
      </c>
      <c r="S110" s="15">
        <f t="shared" ref="S110:S112" si="339">R110*10</f>
        <v>10</v>
      </c>
      <c r="T110" s="14"/>
      <c r="U110" s="15">
        <f t="shared" ref="U110:U112" si="340">T110*-15</f>
        <v>0</v>
      </c>
      <c r="V110" s="16">
        <f t="shared" ref="V110:V112" si="341">IF(AND(R110=2),10,IF(R110=3,30,IF(R110=4,50,IF(R110=5,70,0))))</f>
        <v>0</v>
      </c>
      <c r="W110" s="17">
        <f t="shared" ref="W110:W112" si="342">IF(G110="x",H110+J110+L110+N110+O110+P110+Q110+S110+U110+V110,0)</f>
        <v>65</v>
      </c>
    </row>
    <row r="111" spans="1:23" ht="10.5" hidden="1" customHeight="1" x14ac:dyDescent="0.2">
      <c r="A111" s="11" t="s">
        <v>155</v>
      </c>
      <c r="B111" s="149">
        <f>COUNTA(Spieltag!K98:AA98)</f>
        <v>0</v>
      </c>
      <c r="C111" s="166">
        <f>Spieltag!A98</f>
        <v>30</v>
      </c>
      <c r="D111" s="21" t="str">
        <f>Spieltag!B98</f>
        <v>Benjamin Šeško (A)</v>
      </c>
      <c r="E111" s="12" t="str">
        <f>Spieltag!C98</f>
        <v>Sturm</v>
      </c>
      <c r="F111" s="13" t="s">
        <v>134</v>
      </c>
      <c r="G111" s="14"/>
      <c r="H111" s="15">
        <f t="shared" ref="H111" si="343">IF(G111="x",10,0)</f>
        <v>0</v>
      </c>
      <c r="I111" s="14"/>
      <c r="J111" s="15">
        <f t="shared" ref="J111" si="344">IF((I111="x"),-10,0)</f>
        <v>0</v>
      </c>
      <c r="K111" s="14"/>
      <c r="L111" s="15">
        <f t="shared" ref="L111" si="345">IF((K111="x"),-20,0)</f>
        <v>0</v>
      </c>
      <c r="M111" s="14"/>
      <c r="N111" s="15">
        <f t="shared" ref="N111" si="346">IF((M111="x"),-30,0)</f>
        <v>0</v>
      </c>
      <c r="O111" s="16">
        <f t="shared" si="336"/>
        <v>20</v>
      </c>
      <c r="P111" s="16">
        <f t="shared" si="337"/>
        <v>20</v>
      </c>
      <c r="Q111" s="16">
        <f t="shared" si="338"/>
        <v>5</v>
      </c>
      <c r="R111" s="14"/>
      <c r="S111" s="15">
        <f t="shared" ref="S111" si="347">R111*10</f>
        <v>0</v>
      </c>
      <c r="T111" s="14"/>
      <c r="U111" s="15">
        <f t="shared" ref="U111" si="348">T111*-15</f>
        <v>0</v>
      </c>
      <c r="V111" s="16">
        <f t="shared" ref="V111" si="349">IF(AND(R111=2),10,IF(R111=3,30,IF(R111=4,50,IF(R111=5,70,0))))</f>
        <v>0</v>
      </c>
      <c r="W111" s="17">
        <f t="shared" ref="W111" si="350">IF(G111="x",H111+J111+L111+N111+O111+P111+Q111+S111+U111+V111,0)</f>
        <v>0</v>
      </c>
    </row>
    <row r="112" spans="1:23" ht="10.5" hidden="1" customHeight="1" x14ac:dyDescent="0.2">
      <c r="A112" s="11" t="s">
        <v>155</v>
      </c>
      <c r="B112" s="149">
        <f>COUNTA(Spieltag!K99:AA99)</f>
        <v>0</v>
      </c>
      <c r="C112" s="166">
        <f>Spieltag!A99</f>
        <v>46</v>
      </c>
      <c r="D112" s="21" t="str">
        <f>Spieltag!B99</f>
        <v>Yannick Eduardo (A)</v>
      </c>
      <c r="E112" s="12" t="str">
        <f>Spieltag!C99</f>
        <v>Sturm</v>
      </c>
      <c r="F112" s="13" t="s">
        <v>134</v>
      </c>
      <c r="G112" s="14"/>
      <c r="H112" s="15">
        <f t="shared" si="332"/>
        <v>0</v>
      </c>
      <c r="I112" s="14"/>
      <c r="J112" s="15">
        <f t="shared" si="333"/>
        <v>0</v>
      </c>
      <c r="K112" s="14"/>
      <c r="L112" s="15">
        <f t="shared" si="334"/>
        <v>0</v>
      </c>
      <c r="M112" s="14"/>
      <c r="N112" s="15">
        <f t="shared" si="335"/>
        <v>0</v>
      </c>
      <c r="O112" s="16">
        <f t="shared" si="336"/>
        <v>20</v>
      </c>
      <c r="P112" s="16">
        <f t="shared" si="337"/>
        <v>20</v>
      </c>
      <c r="Q112" s="16">
        <f t="shared" si="338"/>
        <v>5</v>
      </c>
      <c r="R112" s="14"/>
      <c r="S112" s="15">
        <f t="shared" si="339"/>
        <v>0</v>
      </c>
      <c r="T112" s="14"/>
      <c r="U112" s="15">
        <f t="shared" si="340"/>
        <v>0</v>
      </c>
      <c r="V112" s="16">
        <f t="shared" si="341"/>
        <v>0</v>
      </c>
      <c r="W112" s="17">
        <f t="shared" si="342"/>
        <v>0</v>
      </c>
    </row>
    <row r="113" spans="1:23" s="144" customFormat="1" ht="17.25" thickBot="1" x14ac:dyDescent="0.25">
      <c r="A113" s="142"/>
      <c r="B113" s="143">
        <f>SUM(A114:B139)</f>
        <v>3</v>
      </c>
      <c r="C113" s="158"/>
      <c r="D113" s="234" t="s">
        <v>177</v>
      </c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5"/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1</v>
      </c>
      <c r="D114" s="21" t="str">
        <f>Spieltag!B101</f>
        <v>Frederik Rønnow (A)</v>
      </c>
      <c r="E114" s="151" t="str">
        <f>Spieltag!C101</f>
        <v>Torwart</v>
      </c>
      <c r="F114" s="152" t="s">
        <v>178</v>
      </c>
      <c r="G114" s="153"/>
      <c r="H114" s="154">
        <f>IF(G114="x",10,0)</f>
        <v>0</v>
      </c>
      <c r="I114" s="153"/>
      <c r="J114" s="154">
        <f>IF((I114="x"),-10,0)</f>
        <v>0</v>
      </c>
      <c r="K114" s="153"/>
      <c r="L114" s="154">
        <f>IF((K114="x"),-20,0)</f>
        <v>0</v>
      </c>
      <c r="M114" s="153"/>
      <c r="N114" s="154">
        <f>IF((M114="x"),-30,0)</f>
        <v>0</v>
      </c>
      <c r="O114" s="155">
        <f t="shared" ref="O114:O139" si="351">IF(AND($V$4&gt;$W$4),20,IF($V$4=$W$4,10,0))</f>
        <v>0</v>
      </c>
      <c r="P114" s="155">
        <f t="shared" ref="P114:P139" si="352">IF(($V$4&lt;&gt;0),$V$4*10,-5)</f>
        <v>-5</v>
      </c>
      <c r="Q114" s="155">
        <f>IF(($W$4&lt;&gt;0),$W$4*-10,20)</f>
        <v>-20</v>
      </c>
      <c r="R114" s="153"/>
      <c r="S114" s="154">
        <f>R114*20</f>
        <v>0</v>
      </c>
      <c r="T114" s="153"/>
      <c r="U114" s="154">
        <f>T114*-15</f>
        <v>0</v>
      </c>
      <c r="V114" s="155">
        <f>IF(AND(R114=2),10,IF(R114=3,30,IF(R114=4,50,IF(R114=5,70,0))))</f>
        <v>0</v>
      </c>
      <c r="W114" s="156">
        <f>IF(G114="x",H114+J114+L114+N114+O114+P114+Q114+S114+U114+V114,0)</f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12</v>
      </c>
      <c r="D115" s="21" t="str">
        <f>Spieltag!B102</f>
        <v>Jakob Busk (A)</v>
      </c>
      <c r="E115" s="151" t="str">
        <f>Spieltag!C102</f>
        <v>Torwart</v>
      </c>
      <c r="F115" s="152" t="s">
        <v>178</v>
      </c>
      <c r="G115" s="153"/>
      <c r="H115" s="154">
        <f t="shared" ref="H115:H117" si="353">IF(G115="x",10,0)</f>
        <v>0</v>
      </c>
      <c r="I115" s="153"/>
      <c r="J115" s="154">
        <f t="shared" ref="J115:J117" si="354">IF((I115="x"),-10,0)</f>
        <v>0</v>
      </c>
      <c r="K115" s="153"/>
      <c r="L115" s="154">
        <f t="shared" ref="L115:L117" si="355">IF((K115="x"),-20,0)</f>
        <v>0</v>
      </c>
      <c r="M115" s="153"/>
      <c r="N115" s="154">
        <f t="shared" ref="N115:N117" si="356">IF((M115="x"),-30,0)</f>
        <v>0</v>
      </c>
      <c r="O115" s="155">
        <f t="shared" si="351"/>
        <v>0</v>
      </c>
      <c r="P115" s="155">
        <f t="shared" si="352"/>
        <v>-5</v>
      </c>
      <c r="Q115" s="155">
        <f t="shared" ref="Q115:Q117" si="357">IF(($W$4&lt;&gt;0),$W$4*-10,20)</f>
        <v>-20</v>
      </c>
      <c r="R115" s="153"/>
      <c r="S115" s="154">
        <f t="shared" ref="S115:S117" si="358">R115*20</f>
        <v>0</v>
      </c>
      <c r="T115" s="153"/>
      <c r="U115" s="154">
        <f t="shared" ref="U115:U117" si="359">T115*-15</f>
        <v>0</v>
      </c>
      <c r="V115" s="155">
        <f t="shared" ref="V115:V117" si="360">IF(AND(R115=2),10,IF(R115=3,30,IF(R115=4,50,IF(R115=5,70,0))))</f>
        <v>0</v>
      </c>
      <c r="W115" s="156">
        <f t="shared" ref="W115:W117" si="361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37</v>
      </c>
      <c r="D116" s="21" t="str">
        <f>Spieltag!B103</f>
        <v>Alexander Schwolow</v>
      </c>
      <c r="E116" s="151" t="str">
        <f>Spieltag!C103</f>
        <v>Torwart</v>
      </c>
      <c r="F116" s="152" t="s">
        <v>178</v>
      </c>
      <c r="G116" s="153"/>
      <c r="H116" s="154">
        <f t="shared" ref="H116" si="362">IF(G116="x",10,0)</f>
        <v>0</v>
      </c>
      <c r="I116" s="153"/>
      <c r="J116" s="154">
        <f t="shared" ref="J116" si="363">IF((I116="x"),-10,0)</f>
        <v>0</v>
      </c>
      <c r="K116" s="153"/>
      <c r="L116" s="154">
        <f t="shared" ref="L116" si="364">IF((K116="x"),-20,0)</f>
        <v>0</v>
      </c>
      <c r="M116" s="153"/>
      <c r="N116" s="154">
        <f t="shared" ref="N116" si="365">IF((M116="x"),-30,0)</f>
        <v>0</v>
      </c>
      <c r="O116" s="155">
        <f t="shared" si="351"/>
        <v>0</v>
      </c>
      <c r="P116" s="155">
        <f t="shared" si="352"/>
        <v>-5</v>
      </c>
      <c r="Q116" s="155">
        <f t="shared" si="357"/>
        <v>-20</v>
      </c>
      <c r="R116" s="153"/>
      <c r="S116" s="154">
        <f t="shared" ref="S116" si="366">R116*20</f>
        <v>0</v>
      </c>
      <c r="T116" s="153"/>
      <c r="U116" s="154">
        <f t="shared" ref="U116" si="367">T116*-15</f>
        <v>0</v>
      </c>
      <c r="V116" s="155">
        <f t="shared" ref="V116" si="368">IF(AND(R116=2),10,IF(R116=3,30,IF(R116=4,50,IF(R116=5,70,0))))</f>
        <v>0</v>
      </c>
      <c r="W116" s="156">
        <f t="shared" ref="W116" si="369">IF(G116="x",H116+J116+L116+N116+O116+P116+Q116+S116+U116+V116,0)</f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39</v>
      </c>
      <c r="D117" s="21" t="str">
        <f>Spieltag!B104</f>
        <v>Yannic Stein</v>
      </c>
      <c r="E117" s="151" t="str">
        <f>Spieltag!C104</f>
        <v>Torwart</v>
      </c>
      <c r="F117" s="152" t="s">
        <v>178</v>
      </c>
      <c r="G117" s="153"/>
      <c r="H117" s="154">
        <f t="shared" si="353"/>
        <v>0</v>
      </c>
      <c r="I117" s="153"/>
      <c r="J117" s="154">
        <f t="shared" si="354"/>
        <v>0</v>
      </c>
      <c r="K117" s="153"/>
      <c r="L117" s="154">
        <f t="shared" si="355"/>
        <v>0</v>
      </c>
      <c r="M117" s="153"/>
      <c r="N117" s="154">
        <f t="shared" si="356"/>
        <v>0</v>
      </c>
      <c r="O117" s="155">
        <f t="shared" si="351"/>
        <v>0</v>
      </c>
      <c r="P117" s="155">
        <f t="shared" si="352"/>
        <v>-5</v>
      </c>
      <c r="Q117" s="155">
        <f t="shared" si="357"/>
        <v>-20</v>
      </c>
      <c r="R117" s="153"/>
      <c r="S117" s="154">
        <f t="shared" si="358"/>
        <v>0</v>
      </c>
      <c r="T117" s="153"/>
      <c r="U117" s="154">
        <f t="shared" si="359"/>
        <v>0</v>
      </c>
      <c r="V117" s="155">
        <f t="shared" si="360"/>
        <v>0</v>
      </c>
      <c r="W117" s="156">
        <f t="shared" si="361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2</v>
      </c>
      <c r="D118" s="21" t="str">
        <f>Spieltag!B105</f>
        <v>Kevin Vogt</v>
      </c>
      <c r="E118" s="151" t="str">
        <f>Spieltag!C105</f>
        <v>Abwehr</v>
      </c>
      <c r="F118" s="152" t="s">
        <v>178</v>
      </c>
      <c r="G118" s="153"/>
      <c r="H118" s="154">
        <f t="shared" ref="H118" si="370">IF(G118="x",10,0)</f>
        <v>0</v>
      </c>
      <c r="I118" s="153"/>
      <c r="J118" s="154">
        <f t="shared" ref="J118" si="371">IF((I118="x"),-10,0)</f>
        <v>0</v>
      </c>
      <c r="K118" s="153"/>
      <c r="L118" s="154">
        <f t="shared" ref="L118" si="372">IF((K118="x"),-20,0)</f>
        <v>0</v>
      </c>
      <c r="M118" s="153"/>
      <c r="N118" s="154">
        <f t="shared" ref="N118" si="373">IF((M118="x"),-30,0)</f>
        <v>0</v>
      </c>
      <c r="O118" s="155">
        <f t="shared" si="351"/>
        <v>0</v>
      </c>
      <c r="P118" s="155">
        <f t="shared" si="352"/>
        <v>-5</v>
      </c>
      <c r="Q118" s="155">
        <f t="shared" ref="Q118:Q127" si="374">IF(($W$4&lt;&gt;0),$W$4*-10,15)</f>
        <v>-20</v>
      </c>
      <c r="R118" s="153"/>
      <c r="S118" s="154">
        <f t="shared" ref="S118" si="375">R118*15</f>
        <v>0</v>
      </c>
      <c r="T118" s="153"/>
      <c r="U118" s="154">
        <f t="shared" ref="U118" si="376">T118*-15</f>
        <v>0</v>
      </c>
      <c r="V118" s="155">
        <f t="shared" ref="V118" si="377">IF(AND(R118=2),10,IF(R118=3,30,IF(R118=4,50,IF(R118=5,70,0))))</f>
        <v>0</v>
      </c>
      <c r="W118" s="156">
        <f t="shared" ref="W118" si="378">IF(G118="x",H118+J118+L118+N118+O118+P118+Q118+S118+U118+V118,0)</f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3</v>
      </c>
      <c r="D119" s="21" t="str">
        <f>Spieltag!B106</f>
        <v>Paul Jaeckel</v>
      </c>
      <c r="E119" s="151" t="str">
        <f>Spieltag!C106</f>
        <v>Abwehr</v>
      </c>
      <c r="F119" s="152" t="s">
        <v>178</v>
      </c>
      <c r="G119" s="153"/>
      <c r="H119" s="154">
        <f t="shared" ref="H119:H127" si="379">IF(G119="x",10,0)</f>
        <v>0</v>
      </c>
      <c r="I119" s="153"/>
      <c r="J119" s="154">
        <f t="shared" ref="J119:J127" si="380">IF((I119="x"),-10,0)</f>
        <v>0</v>
      </c>
      <c r="K119" s="153"/>
      <c r="L119" s="154">
        <f t="shared" ref="L119:L127" si="381">IF((K119="x"),-20,0)</f>
        <v>0</v>
      </c>
      <c r="M119" s="153"/>
      <c r="N119" s="154">
        <f t="shared" ref="N119:N127" si="382">IF((M119="x"),-30,0)</f>
        <v>0</v>
      </c>
      <c r="O119" s="155">
        <f t="shared" si="351"/>
        <v>0</v>
      </c>
      <c r="P119" s="155">
        <f t="shared" si="352"/>
        <v>-5</v>
      </c>
      <c r="Q119" s="155">
        <f t="shared" si="374"/>
        <v>-20</v>
      </c>
      <c r="R119" s="153"/>
      <c r="S119" s="154">
        <f t="shared" ref="S119:S127" si="383">R119*15</f>
        <v>0</v>
      </c>
      <c r="T119" s="153"/>
      <c r="U119" s="154">
        <f t="shared" ref="U119:U127" si="384">T119*-15</f>
        <v>0</v>
      </c>
      <c r="V119" s="155">
        <f t="shared" ref="V119:V127" si="385">IF(AND(R119=2),10,IF(R119=3,30,IF(R119=4,50,IF(R119=5,70,0))))</f>
        <v>0</v>
      </c>
      <c r="W119" s="156">
        <f t="shared" ref="W119:W127" si="386">IF(G119="x",H119+J119+L119+N119+O119+P119+Q119+S119+U119+V119,0)</f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4</v>
      </c>
      <c r="D120" s="21" t="str">
        <f>Spieltag!B107</f>
        <v>Diogo Leite (A)</v>
      </c>
      <c r="E120" s="151" t="str">
        <f>Spieltag!C107</f>
        <v>Abwehr</v>
      </c>
      <c r="F120" s="152" t="s">
        <v>178</v>
      </c>
      <c r="G120" s="153"/>
      <c r="H120" s="154">
        <f t="shared" si="379"/>
        <v>0</v>
      </c>
      <c r="I120" s="153"/>
      <c r="J120" s="154">
        <f t="shared" si="380"/>
        <v>0</v>
      </c>
      <c r="K120" s="153"/>
      <c r="L120" s="154">
        <f t="shared" si="381"/>
        <v>0</v>
      </c>
      <c r="M120" s="153"/>
      <c r="N120" s="154">
        <f t="shared" si="382"/>
        <v>0</v>
      </c>
      <c r="O120" s="155">
        <f t="shared" si="351"/>
        <v>0</v>
      </c>
      <c r="P120" s="155">
        <f t="shared" si="352"/>
        <v>-5</v>
      </c>
      <c r="Q120" s="155">
        <f t="shared" si="374"/>
        <v>-20</v>
      </c>
      <c r="R120" s="153"/>
      <c r="S120" s="154">
        <f t="shared" si="383"/>
        <v>0</v>
      </c>
      <c r="T120" s="153"/>
      <c r="U120" s="154">
        <f t="shared" si="384"/>
        <v>0</v>
      </c>
      <c r="V120" s="155">
        <f t="shared" si="385"/>
        <v>0</v>
      </c>
      <c r="W120" s="156">
        <f t="shared" si="386"/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5</v>
      </c>
      <c r="D121" s="21" t="str">
        <f>Spieltag!B108</f>
        <v>Danilho Doekhi (A)</v>
      </c>
      <c r="E121" s="151" t="str">
        <f>Spieltag!C108</f>
        <v>Abwehr</v>
      </c>
      <c r="F121" s="152" t="s">
        <v>178</v>
      </c>
      <c r="G121" s="153"/>
      <c r="H121" s="154">
        <f t="shared" ref="H121" si="387">IF(G121="x",10,0)</f>
        <v>0</v>
      </c>
      <c r="I121" s="153"/>
      <c r="J121" s="154">
        <f t="shared" ref="J121" si="388">IF((I121="x"),-10,0)</f>
        <v>0</v>
      </c>
      <c r="K121" s="153"/>
      <c r="L121" s="154">
        <f t="shared" ref="L121" si="389">IF((K121="x"),-20,0)</f>
        <v>0</v>
      </c>
      <c r="M121" s="153"/>
      <c r="N121" s="154">
        <f t="shared" ref="N121" si="390">IF((M121="x"),-30,0)</f>
        <v>0</v>
      </c>
      <c r="O121" s="155">
        <f t="shared" si="351"/>
        <v>0</v>
      </c>
      <c r="P121" s="155">
        <f t="shared" si="352"/>
        <v>-5</v>
      </c>
      <c r="Q121" s="155">
        <f t="shared" si="374"/>
        <v>-20</v>
      </c>
      <c r="R121" s="153"/>
      <c r="S121" s="154">
        <f t="shared" ref="S121" si="391">R121*15</f>
        <v>0</v>
      </c>
      <c r="T121" s="153"/>
      <c r="U121" s="154">
        <f t="shared" ref="U121" si="392">T121*-15</f>
        <v>0</v>
      </c>
      <c r="V121" s="155">
        <f t="shared" ref="V121" si="393">IF(AND(R121=2),10,IF(R121=3,30,IF(R121=4,50,IF(R121=5,70,0))))</f>
        <v>0</v>
      </c>
      <c r="W121" s="156">
        <f t="shared" ref="W121" si="394">IF(G121="x",H121+J121+L121+N121+O121+P121+Q121+S121+U121+V121,0)</f>
        <v>0</v>
      </c>
    </row>
    <row r="122" spans="1:23" ht="10.5" customHeight="1" x14ac:dyDescent="0.2">
      <c r="A122" s="11"/>
      <c r="B122" s="150">
        <f>COUNTA(Spieltag!K109:AA109)</f>
        <v>1</v>
      </c>
      <c r="C122" s="166">
        <f>Spieltag!A109</f>
        <v>6</v>
      </c>
      <c r="D122" s="21" t="str">
        <f>Spieltag!B109</f>
        <v>Robin Gosens</v>
      </c>
      <c r="E122" s="151" t="str">
        <f>Spieltag!C109</f>
        <v>Abwehr</v>
      </c>
      <c r="F122" s="152" t="s">
        <v>178</v>
      </c>
      <c r="G122" s="153" t="s">
        <v>675</v>
      </c>
      <c r="H122" s="154">
        <f t="shared" si="379"/>
        <v>10</v>
      </c>
      <c r="I122" s="153"/>
      <c r="J122" s="154">
        <f t="shared" si="380"/>
        <v>0</v>
      </c>
      <c r="K122" s="153"/>
      <c r="L122" s="154">
        <f t="shared" si="381"/>
        <v>0</v>
      </c>
      <c r="M122" s="153"/>
      <c r="N122" s="154">
        <f t="shared" si="382"/>
        <v>0</v>
      </c>
      <c r="O122" s="155">
        <f t="shared" si="351"/>
        <v>0</v>
      </c>
      <c r="P122" s="155">
        <f t="shared" si="352"/>
        <v>-5</v>
      </c>
      <c r="Q122" s="155">
        <f t="shared" si="374"/>
        <v>-20</v>
      </c>
      <c r="R122" s="153"/>
      <c r="S122" s="154">
        <f t="shared" si="383"/>
        <v>0</v>
      </c>
      <c r="T122" s="153"/>
      <c r="U122" s="154">
        <f t="shared" si="384"/>
        <v>0</v>
      </c>
      <c r="V122" s="155">
        <f t="shared" si="385"/>
        <v>0</v>
      </c>
      <c r="W122" s="156">
        <f t="shared" si="386"/>
        <v>-15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18</v>
      </c>
      <c r="D123" s="21" t="str">
        <f>Spieltag!B110</f>
        <v>Josip Juranovic (A)</v>
      </c>
      <c r="E123" s="151" t="str">
        <f>Spieltag!C110</f>
        <v>Abwehr</v>
      </c>
      <c r="F123" s="152" t="s">
        <v>178</v>
      </c>
      <c r="G123" s="153"/>
      <c r="H123" s="154">
        <f t="shared" ref="H123" si="395">IF(G123="x",10,0)</f>
        <v>0</v>
      </c>
      <c r="I123" s="153"/>
      <c r="J123" s="154">
        <f t="shared" ref="J123" si="396">IF((I123="x"),-10,0)</f>
        <v>0</v>
      </c>
      <c r="K123" s="153"/>
      <c r="L123" s="154">
        <f t="shared" ref="L123" si="397">IF((K123="x"),-20,0)</f>
        <v>0</v>
      </c>
      <c r="M123" s="153"/>
      <c r="N123" s="154">
        <f t="shared" ref="N123" si="398">IF((M123="x"),-30,0)</f>
        <v>0</v>
      </c>
      <c r="O123" s="155">
        <f t="shared" si="351"/>
        <v>0</v>
      </c>
      <c r="P123" s="155">
        <f t="shared" si="352"/>
        <v>-5</v>
      </c>
      <c r="Q123" s="155">
        <f t="shared" si="374"/>
        <v>-20</v>
      </c>
      <c r="R123" s="153"/>
      <c r="S123" s="154">
        <f t="shared" ref="S123" si="399">R123*15</f>
        <v>0</v>
      </c>
      <c r="T123" s="153"/>
      <c r="U123" s="154">
        <f t="shared" ref="U123" si="400">T123*-15</f>
        <v>0</v>
      </c>
      <c r="V123" s="155">
        <f t="shared" ref="V123" si="401">IF(AND(R123=2),10,IF(R123=3,30,IF(R123=4,50,IF(R123=5,70,0))))</f>
        <v>0</v>
      </c>
      <c r="W123" s="156">
        <f t="shared" ref="W123" si="402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26</v>
      </c>
      <c r="D124" s="21" t="str">
        <f>Spieltag!B111</f>
        <v>Jerome Roussillon (A)</v>
      </c>
      <c r="E124" s="151" t="str">
        <f>Spieltag!C111</f>
        <v>Abwehr</v>
      </c>
      <c r="F124" s="152" t="s">
        <v>178</v>
      </c>
      <c r="G124" s="153"/>
      <c r="H124" s="154">
        <f t="shared" si="379"/>
        <v>0</v>
      </c>
      <c r="I124" s="153"/>
      <c r="J124" s="154">
        <f t="shared" si="380"/>
        <v>0</v>
      </c>
      <c r="K124" s="153"/>
      <c r="L124" s="154">
        <f t="shared" si="381"/>
        <v>0</v>
      </c>
      <c r="M124" s="153"/>
      <c r="N124" s="154">
        <f t="shared" si="382"/>
        <v>0</v>
      </c>
      <c r="O124" s="155">
        <f t="shared" si="351"/>
        <v>0</v>
      </c>
      <c r="P124" s="155">
        <f t="shared" si="352"/>
        <v>-5</v>
      </c>
      <c r="Q124" s="155">
        <f t="shared" si="374"/>
        <v>-20</v>
      </c>
      <c r="R124" s="153"/>
      <c r="S124" s="154">
        <f t="shared" si="383"/>
        <v>0</v>
      </c>
      <c r="T124" s="153"/>
      <c r="U124" s="154">
        <f t="shared" si="384"/>
        <v>0</v>
      </c>
      <c r="V124" s="155">
        <f t="shared" si="385"/>
        <v>0</v>
      </c>
      <c r="W124" s="156">
        <f t="shared" si="386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28</v>
      </c>
      <c r="D125" s="21" t="str">
        <f>Spieltag!B112</f>
        <v>Christopher Trimmel (A)</v>
      </c>
      <c r="E125" s="151" t="str">
        <f>Spieltag!C112</f>
        <v>Abwehr</v>
      </c>
      <c r="F125" s="152" t="s">
        <v>178</v>
      </c>
      <c r="G125" s="153"/>
      <c r="H125" s="154">
        <f t="shared" si="379"/>
        <v>0</v>
      </c>
      <c r="I125" s="153"/>
      <c r="J125" s="154">
        <f t="shared" si="380"/>
        <v>0</v>
      </c>
      <c r="K125" s="153"/>
      <c r="L125" s="154">
        <f t="shared" si="381"/>
        <v>0</v>
      </c>
      <c r="M125" s="153"/>
      <c r="N125" s="154">
        <f t="shared" si="382"/>
        <v>0</v>
      </c>
      <c r="O125" s="155">
        <f t="shared" si="351"/>
        <v>0</v>
      </c>
      <c r="P125" s="155">
        <f t="shared" si="352"/>
        <v>-5</v>
      </c>
      <c r="Q125" s="155">
        <f t="shared" si="374"/>
        <v>-20</v>
      </c>
      <c r="R125" s="153"/>
      <c r="S125" s="154">
        <f t="shared" si="383"/>
        <v>0</v>
      </c>
      <c r="T125" s="153"/>
      <c r="U125" s="154">
        <f t="shared" si="384"/>
        <v>0</v>
      </c>
      <c r="V125" s="155">
        <f t="shared" si="385"/>
        <v>0</v>
      </c>
      <c r="W125" s="156">
        <f t="shared" si="386"/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31</v>
      </c>
      <c r="D126" s="21" t="str">
        <f>Spieltag!B113</f>
        <v>Robin Knoche</v>
      </c>
      <c r="E126" s="151" t="str">
        <f>Spieltag!C113</f>
        <v>Abwehr</v>
      </c>
      <c r="F126" s="152" t="s">
        <v>178</v>
      </c>
      <c r="G126" s="153"/>
      <c r="H126" s="154">
        <f t="shared" ref="H126" si="403">IF(G126="x",10,0)</f>
        <v>0</v>
      </c>
      <c r="I126" s="153"/>
      <c r="J126" s="154">
        <f t="shared" ref="J126" si="404">IF((I126="x"),-10,0)</f>
        <v>0</v>
      </c>
      <c r="K126" s="153"/>
      <c r="L126" s="154">
        <f t="shared" ref="L126" si="405">IF((K126="x"),-20,0)</f>
        <v>0</v>
      </c>
      <c r="M126" s="153"/>
      <c r="N126" s="154">
        <f t="shared" ref="N126" si="406">IF((M126="x"),-30,0)</f>
        <v>0</v>
      </c>
      <c r="O126" s="155">
        <f t="shared" si="351"/>
        <v>0</v>
      </c>
      <c r="P126" s="155">
        <f t="shared" si="352"/>
        <v>-5</v>
      </c>
      <c r="Q126" s="155">
        <f t="shared" si="374"/>
        <v>-20</v>
      </c>
      <c r="R126" s="153"/>
      <c r="S126" s="154">
        <f t="shared" ref="S126" si="407">R126*15</f>
        <v>0</v>
      </c>
      <c r="T126" s="153"/>
      <c r="U126" s="154">
        <f t="shared" ref="U126" si="408">T126*-15</f>
        <v>0</v>
      </c>
      <c r="V126" s="155">
        <f t="shared" ref="V126" si="409">IF(AND(R126=2),10,IF(R126=3,30,IF(R126=4,50,IF(R126=5,70,0))))</f>
        <v>0</v>
      </c>
      <c r="W126" s="156">
        <f t="shared" ref="W126" si="410">IF(G126="x",H126+J126+L126+N126+O126+P126+Q126+S126+U126+V126,0)</f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41</v>
      </c>
      <c r="D127" s="21" t="str">
        <f>Spieltag!B114</f>
        <v>Oluwaseun Ogdemudia</v>
      </c>
      <c r="E127" s="151" t="str">
        <f>Spieltag!C114</f>
        <v>Abwehr</v>
      </c>
      <c r="F127" s="152" t="s">
        <v>178</v>
      </c>
      <c r="G127" s="153"/>
      <c r="H127" s="154">
        <f t="shared" si="379"/>
        <v>0</v>
      </c>
      <c r="I127" s="153"/>
      <c r="J127" s="154">
        <f t="shared" si="380"/>
        <v>0</v>
      </c>
      <c r="K127" s="153"/>
      <c r="L127" s="154">
        <f t="shared" si="381"/>
        <v>0</v>
      </c>
      <c r="M127" s="153"/>
      <c r="N127" s="154">
        <f t="shared" si="382"/>
        <v>0</v>
      </c>
      <c r="O127" s="155">
        <f t="shared" si="351"/>
        <v>0</v>
      </c>
      <c r="P127" s="155">
        <f t="shared" si="352"/>
        <v>-5</v>
      </c>
      <c r="Q127" s="155">
        <f t="shared" si="374"/>
        <v>-20</v>
      </c>
      <c r="R127" s="153"/>
      <c r="S127" s="154">
        <f t="shared" si="383"/>
        <v>0</v>
      </c>
      <c r="T127" s="153"/>
      <c r="U127" s="154">
        <f t="shared" si="384"/>
        <v>0</v>
      </c>
      <c r="V127" s="155">
        <f t="shared" si="385"/>
        <v>0</v>
      </c>
      <c r="W127" s="156">
        <f t="shared" si="386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7</v>
      </c>
      <c r="D128" s="21" t="str">
        <f>Spieltag!B115</f>
        <v>Brendon Aaronson (A)</v>
      </c>
      <c r="E128" s="151" t="str">
        <f>Spieltag!C115</f>
        <v>Mittelfeld</v>
      </c>
      <c r="F128" s="152" t="s">
        <v>178</v>
      </c>
      <c r="G128" s="153"/>
      <c r="H128" s="154">
        <f t="shared" ref="H128" si="411">IF(G128="x",10,0)</f>
        <v>0</v>
      </c>
      <c r="I128" s="153"/>
      <c r="J128" s="154">
        <f t="shared" ref="J128" si="412">IF((I128="x"),-10,0)</f>
        <v>0</v>
      </c>
      <c r="K128" s="153"/>
      <c r="L128" s="154">
        <f t="shared" ref="L128" si="413">IF((K128="x"),-20,0)</f>
        <v>0</v>
      </c>
      <c r="M128" s="153"/>
      <c r="N128" s="154">
        <f t="shared" ref="N128" si="414">IF((M128="x"),-30,0)</f>
        <v>0</v>
      </c>
      <c r="O128" s="155">
        <f t="shared" si="351"/>
        <v>0</v>
      </c>
      <c r="P128" s="155">
        <f t="shared" si="352"/>
        <v>-5</v>
      </c>
      <c r="Q128" s="155">
        <f t="shared" ref="Q128:Q134" si="415">IF(($W$4&lt;&gt;0),$W$4*-10,10)</f>
        <v>-20</v>
      </c>
      <c r="R128" s="153"/>
      <c r="S128" s="154">
        <f t="shared" ref="S128" si="416">R128*10</f>
        <v>0</v>
      </c>
      <c r="T128" s="153"/>
      <c r="U128" s="154">
        <f t="shared" ref="U128" si="417">T128*-15</f>
        <v>0</v>
      </c>
      <c r="V128" s="155">
        <f t="shared" ref="V128" si="418">IF(AND(R128=2),10,IF(R128=3,30,IF(R128=4,50,IF(R128=5,70,0))))</f>
        <v>0</v>
      </c>
      <c r="W128" s="156">
        <f t="shared" ref="W128" si="419">IF(G128="x",H128+J128+L128+N128+O128+P128+Q128+S128+U128+V128,0)</f>
        <v>0</v>
      </c>
    </row>
    <row r="129" spans="1:23" ht="10.5" hidden="1" customHeight="1" x14ac:dyDescent="0.2">
      <c r="A129" s="11"/>
      <c r="B129" s="150">
        <f>COUNTA(Spieltag!K116:AA116)</f>
        <v>0</v>
      </c>
      <c r="C129" s="166">
        <f>Spieltag!A116</f>
        <v>8</v>
      </c>
      <c r="D129" s="21" t="str">
        <f>Spieltag!B116</f>
        <v>Rani Khedira</v>
      </c>
      <c r="E129" s="151" t="str">
        <f>Spieltag!C116</f>
        <v>Mittelfeld</v>
      </c>
      <c r="F129" s="152" t="s">
        <v>178</v>
      </c>
      <c r="G129" s="153"/>
      <c r="H129" s="154">
        <f t="shared" ref="H129:H134" si="420">IF(G129="x",10,0)</f>
        <v>0</v>
      </c>
      <c r="I129" s="153"/>
      <c r="J129" s="154">
        <f t="shared" ref="J129:J134" si="421">IF((I129="x"),-10,0)</f>
        <v>0</v>
      </c>
      <c r="K129" s="153"/>
      <c r="L129" s="154">
        <f t="shared" ref="L129:L134" si="422">IF((K129="x"),-20,0)</f>
        <v>0</v>
      </c>
      <c r="M129" s="153"/>
      <c r="N129" s="154">
        <f t="shared" ref="N129:N134" si="423">IF((M129="x"),-30,0)</f>
        <v>0</v>
      </c>
      <c r="O129" s="155">
        <f t="shared" si="351"/>
        <v>0</v>
      </c>
      <c r="P129" s="155">
        <f t="shared" si="352"/>
        <v>-5</v>
      </c>
      <c r="Q129" s="155">
        <f t="shared" si="415"/>
        <v>-20</v>
      </c>
      <c r="R129" s="153"/>
      <c r="S129" s="154">
        <f t="shared" ref="S129:S134" si="424">R129*10</f>
        <v>0</v>
      </c>
      <c r="T129" s="153"/>
      <c r="U129" s="154">
        <f t="shared" ref="U129:U134" si="425">T129*-15</f>
        <v>0</v>
      </c>
      <c r="V129" s="155">
        <f t="shared" ref="V129:V134" si="426">IF(AND(R129=2),10,IF(R129=3,30,IF(R129=4,50,IF(R129=5,70,0))))</f>
        <v>0</v>
      </c>
      <c r="W129" s="156">
        <f t="shared" ref="W129:W134" si="427">IF(G129="x",H129+J129+L129+N129+O129+P129+Q129+S129+U129+V129,0)</f>
        <v>0</v>
      </c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13</v>
      </c>
      <c r="D130" s="21" t="str">
        <f>Spieltag!B117</f>
        <v>András Schäfer (A)</v>
      </c>
      <c r="E130" s="151" t="str">
        <f>Spieltag!C117</f>
        <v>Mittelfeld</v>
      </c>
      <c r="F130" s="152" t="s">
        <v>178</v>
      </c>
      <c r="G130" s="153"/>
      <c r="H130" s="154">
        <f t="shared" si="420"/>
        <v>0</v>
      </c>
      <c r="I130" s="153"/>
      <c r="J130" s="154">
        <f t="shared" si="421"/>
        <v>0</v>
      </c>
      <c r="K130" s="153"/>
      <c r="L130" s="154">
        <f t="shared" si="422"/>
        <v>0</v>
      </c>
      <c r="M130" s="153"/>
      <c r="N130" s="154">
        <f t="shared" si="423"/>
        <v>0</v>
      </c>
      <c r="O130" s="155">
        <f t="shared" si="351"/>
        <v>0</v>
      </c>
      <c r="P130" s="155">
        <f t="shared" si="352"/>
        <v>-5</v>
      </c>
      <c r="Q130" s="155">
        <f t="shared" si="415"/>
        <v>-20</v>
      </c>
      <c r="R130" s="153"/>
      <c r="S130" s="154">
        <f t="shared" si="424"/>
        <v>0</v>
      </c>
      <c r="T130" s="153"/>
      <c r="U130" s="154">
        <f t="shared" si="425"/>
        <v>0</v>
      </c>
      <c r="V130" s="155">
        <f t="shared" si="426"/>
        <v>0</v>
      </c>
      <c r="W130" s="156">
        <f t="shared" si="427"/>
        <v>0</v>
      </c>
    </row>
    <row r="131" spans="1:23" ht="10.5" customHeight="1" x14ac:dyDescent="0.2">
      <c r="A131" s="11"/>
      <c r="B131" s="150">
        <f>COUNTA(Spieltag!K118:AA118)</f>
        <v>2</v>
      </c>
      <c r="C131" s="166">
        <f>Spieltag!A118</f>
        <v>19</v>
      </c>
      <c r="D131" s="21" t="str">
        <f>Spieltag!B118</f>
        <v>Janik Haberer</v>
      </c>
      <c r="E131" s="151" t="str">
        <f>Spieltag!C118</f>
        <v>Mittelfeld</v>
      </c>
      <c r="F131" s="152" t="s">
        <v>178</v>
      </c>
      <c r="G131" s="153" t="s">
        <v>675</v>
      </c>
      <c r="H131" s="154">
        <f t="shared" si="420"/>
        <v>10</v>
      </c>
      <c r="I131" s="153"/>
      <c r="J131" s="154">
        <f t="shared" si="421"/>
        <v>0</v>
      </c>
      <c r="K131" s="153"/>
      <c r="L131" s="154">
        <f t="shared" si="422"/>
        <v>0</v>
      </c>
      <c r="M131" s="153"/>
      <c r="N131" s="154">
        <f t="shared" si="423"/>
        <v>0</v>
      </c>
      <c r="O131" s="155">
        <f t="shared" si="351"/>
        <v>0</v>
      </c>
      <c r="P131" s="155">
        <f t="shared" si="352"/>
        <v>-5</v>
      </c>
      <c r="Q131" s="155">
        <f t="shared" si="415"/>
        <v>-20</v>
      </c>
      <c r="R131" s="153"/>
      <c r="S131" s="154">
        <f t="shared" si="424"/>
        <v>0</v>
      </c>
      <c r="T131" s="153"/>
      <c r="U131" s="154">
        <f t="shared" si="425"/>
        <v>0</v>
      </c>
      <c r="V131" s="155">
        <f t="shared" si="426"/>
        <v>0</v>
      </c>
      <c r="W131" s="156">
        <f t="shared" si="427"/>
        <v>-15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20</v>
      </c>
      <c r="D132" s="21" t="str">
        <f>Spieltag!B119</f>
        <v>Aissa Laidouni (A)</v>
      </c>
      <c r="E132" s="151" t="str">
        <f>Spieltag!C119</f>
        <v>Mittelfeld</v>
      </c>
      <c r="F132" s="152" t="s">
        <v>178</v>
      </c>
      <c r="G132" s="153"/>
      <c r="H132" s="154">
        <f t="shared" si="420"/>
        <v>0</v>
      </c>
      <c r="I132" s="153"/>
      <c r="J132" s="154">
        <f t="shared" si="421"/>
        <v>0</v>
      </c>
      <c r="K132" s="153"/>
      <c r="L132" s="154">
        <f t="shared" si="422"/>
        <v>0</v>
      </c>
      <c r="M132" s="153"/>
      <c r="N132" s="154">
        <f t="shared" si="423"/>
        <v>0</v>
      </c>
      <c r="O132" s="155">
        <f t="shared" si="351"/>
        <v>0</v>
      </c>
      <c r="P132" s="155">
        <f t="shared" si="352"/>
        <v>-5</v>
      </c>
      <c r="Q132" s="155">
        <f t="shared" si="415"/>
        <v>-20</v>
      </c>
      <c r="R132" s="153"/>
      <c r="S132" s="154">
        <f t="shared" si="424"/>
        <v>0</v>
      </c>
      <c r="T132" s="153"/>
      <c r="U132" s="154">
        <f t="shared" si="425"/>
        <v>0</v>
      </c>
      <c r="V132" s="155">
        <f t="shared" si="426"/>
        <v>0</v>
      </c>
      <c r="W132" s="156">
        <f t="shared" si="427"/>
        <v>0</v>
      </c>
    </row>
    <row r="133" spans="1:23" ht="10.5" hidden="1" customHeight="1" x14ac:dyDescent="0.2">
      <c r="A133" s="11"/>
      <c r="B133" s="150">
        <f>COUNTA(Spieltag!K120:AA120)</f>
        <v>0</v>
      </c>
      <c r="C133" s="166">
        <f>Spieltag!A120</f>
        <v>29</v>
      </c>
      <c r="D133" s="21" t="str">
        <f>Spieltag!B120</f>
        <v>Lucas Tousart (A)</v>
      </c>
      <c r="E133" s="151" t="str">
        <f>Spieltag!C120</f>
        <v>Mittelfeld</v>
      </c>
      <c r="F133" s="152" t="s">
        <v>178</v>
      </c>
      <c r="G133" s="153"/>
      <c r="H133" s="154">
        <f t="shared" si="420"/>
        <v>0</v>
      </c>
      <c r="I133" s="153"/>
      <c r="J133" s="154">
        <f t="shared" si="421"/>
        <v>0</v>
      </c>
      <c r="K133" s="153"/>
      <c r="L133" s="154">
        <f t="shared" si="422"/>
        <v>0</v>
      </c>
      <c r="M133" s="153"/>
      <c r="N133" s="154">
        <f t="shared" si="423"/>
        <v>0</v>
      </c>
      <c r="O133" s="155">
        <f t="shared" si="351"/>
        <v>0</v>
      </c>
      <c r="P133" s="155">
        <f t="shared" si="352"/>
        <v>-5</v>
      </c>
      <c r="Q133" s="155">
        <f t="shared" si="415"/>
        <v>-20</v>
      </c>
      <c r="R133" s="153"/>
      <c r="S133" s="154">
        <f t="shared" si="424"/>
        <v>0</v>
      </c>
      <c r="T133" s="153"/>
      <c r="U133" s="154">
        <f t="shared" si="425"/>
        <v>0</v>
      </c>
      <c r="V133" s="155">
        <f t="shared" si="426"/>
        <v>0</v>
      </c>
      <c r="W133" s="156">
        <f t="shared" si="427"/>
        <v>0</v>
      </c>
    </row>
    <row r="134" spans="1:23" ht="10.5" hidden="1" customHeight="1" x14ac:dyDescent="0.2">
      <c r="A134" s="11"/>
      <c r="B134" s="150">
        <f>COUNTA(Spieltag!K121:AA121)</f>
        <v>0</v>
      </c>
      <c r="C134" s="166">
        <f>Spieltag!A121</f>
        <v>33</v>
      </c>
      <c r="D134" s="21" t="str">
        <f>Spieltag!B121</f>
        <v>Alex Král (A)</v>
      </c>
      <c r="E134" s="151" t="str">
        <f>Spieltag!C121</f>
        <v>Mittelfeld</v>
      </c>
      <c r="F134" s="152" t="s">
        <v>178</v>
      </c>
      <c r="G134" s="153"/>
      <c r="H134" s="154">
        <f t="shared" si="420"/>
        <v>0</v>
      </c>
      <c r="I134" s="153"/>
      <c r="J134" s="154">
        <f t="shared" si="421"/>
        <v>0</v>
      </c>
      <c r="K134" s="153"/>
      <c r="L134" s="154">
        <f t="shared" si="422"/>
        <v>0</v>
      </c>
      <c r="M134" s="153"/>
      <c r="N134" s="154">
        <f t="shared" si="423"/>
        <v>0</v>
      </c>
      <c r="O134" s="155">
        <f t="shared" si="351"/>
        <v>0</v>
      </c>
      <c r="P134" s="155">
        <f t="shared" si="352"/>
        <v>-5</v>
      </c>
      <c r="Q134" s="155">
        <f t="shared" si="415"/>
        <v>-20</v>
      </c>
      <c r="R134" s="153"/>
      <c r="S134" s="154">
        <f t="shared" si="424"/>
        <v>0</v>
      </c>
      <c r="T134" s="153"/>
      <c r="U134" s="154">
        <f t="shared" si="425"/>
        <v>0</v>
      </c>
      <c r="V134" s="155">
        <f t="shared" si="426"/>
        <v>0</v>
      </c>
      <c r="W134" s="156">
        <f t="shared" si="427"/>
        <v>0</v>
      </c>
    </row>
    <row r="135" spans="1:23" ht="10.5" hidden="1" customHeight="1" x14ac:dyDescent="0.2">
      <c r="A135" s="11"/>
      <c r="B135" s="150">
        <f>COUNTA(Spieltag!K122:AA122)</f>
        <v>0</v>
      </c>
      <c r="C135" s="166">
        <f>Spieltag!A122</f>
        <v>9</v>
      </c>
      <c r="D135" s="21" t="str">
        <f>Spieltag!B122</f>
        <v>Mikkel Kaufmann (A)</v>
      </c>
      <c r="E135" s="151" t="str">
        <f>Spieltag!C122</f>
        <v>Sturm</v>
      </c>
      <c r="F135" s="152" t="s">
        <v>178</v>
      </c>
      <c r="G135" s="153"/>
      <c r="H135" s="154">
        <f t="shared" ref="H135:H136" si="428">IF(G135="x",10,0)</f>
        <v>0</v>
      </c>
      <c r="I135" s="153"/>
      <c r="J135" s="154">
        <f t="shared" ref="J135:J136" si="429">IF((I135="x"),-10,0)</f>
        <v>0</v>
      </c>
      <c r="K135" s="153"/>
      <c r="L135" s="154">
        <f t="shared" ref="L135:L136" si="430">IF((K135="x"),-20,0)</f>
        <v>0</v>
      </c>
      <c r="M135" s="153"/>
      <c r="N135" s="154">
        <f t="shared" ref="N135:N136" si="431">IF((M135="x"),-30,0)</f>
        <v>0</v>
      </c>
      <c r="O135" s="155">
        <f t="shared" si="351"/>
        <v>0</v>
      </c>
      <c r="P135" s="155">
        <f t="shared" si="352"/>
        <v>-5</v>
      </c>
      <c r="Q135" s="155">
        <f t="shared" ref="Q135:Q139" si="432">IF(($W$4&lt;&gt;0),$W$4*-10,5)</f>
        <v>-20</v>
      </c>
      <c r="R135" s="153"/>
      <c r="S135" s="154">
        <f t="shared" ref="S135:S136" si="433">R135*10</f>
        <v>0</v>
      </c>
      <c r="T135" s="153"/>
      <c r="U135" s="154">
        <f t="shared" ref="U135:U136" si="434">T135*-15</f>
        <v>0</v>
      </c>
      <c r="V135" s="155">
        <f t="shared" ref="V135:V136" si="435">IF(AND(R135=2),10,IF(R135=3,30,IF(R135=4,50,IF(R135=5,70,0))))</f>
        <v>0</v>
      </c>
      <c r="W135" s="156">
        <f t="shared" ref="W135:W136" si="436">IF(G135="x",H135+J135+L135+N135+O135+P135+Q135+S135+U135+V135,0)</f>
        <v>0</v>
      </c>
    </row>
    <row r="136" spans="1:23" ht="10.5" hidden="1" customHeight="1" x14ac:dyDescent="0.2">
      <c r="A136" s="11"/>
      <c r="B136" s="150">
        <f>COUNTA(Spieltag!K123:AA123)</f>
        <v>0</v>
      </c>
      <c r="C136" s="166">
        <f>Spieltag!A123</f>
        <v>10</v>
      </c>
      <c r="D136" s="21" t="str">
        <f>Spieltag!B123</f>
        <v>Kevin Volland</v>
      </c>
      <c r="E136" s="151" t="str">
        <f>Spieltag!C123</f>
        <v>Sturm</v>
      </c>
      <c r="F136" s="152" t="s">
        <v>178</v>
      </c>
      <c r="G136" s="153"/>
      <c r="H136" s="154">
        <f t="shared" si="428"/>
        <v>0</v>
      </c>
      <c r="I136" s="153"/>
      <c r="J136" s="154">
        <f t="shared" si="429"/>
        <v>0</v>
      </c>
      <c r="K136" s="153"/>
      <c r="L136" s="154">
        <f t="shared" si="430"/>
        <v>0</v>
      </c>
      <c r="M136" s="153"/>
      <c r="N136" s="154">
        <f t="shared" si="431"/>
        <v>0</v>
      </c>
      <c r="O136" s="155">
        <f t="shared" si="351"/>
        <v>0</v>
      </c>
      <c r="P136" s="155">
        <f t="shared" si="352"/>
        <v>-5</v>
      </c>
      <c r="Q136" s="155">
        <f t="shared" si="432"/>
        <v>-20</v>
      </c>
      <c r="R136" s="153"/>
      <c r="S136" s="154">
        <f t="shared" si="433"/>
        <v>0</v>
      </c>
      <c r="T136" s="153"/>
      <c r="U136" s="154">
        <f t="shared" si="434"/>
        <v>0</v>
      </c>
      <c r="V136" s="155">
        <f t="shared" si="435"/>
        <v>0</v>
      </c>
      <c r="W136" s="156">
        <f t="shared" si="436"/>
        <v>0</v>
      </c>
    </row>
    <row r="137" spans="1:23" ht="10.5" hidden="1" customHeight="1" x14ac:dyDescent="0.2">
      <c r="A137" s="11"/>
      <c r="B137" s="150">
        <f>COUNTA(Spieltag!K124:AA124)</f>
        <v>0</v>
      </c>
      <c r="C137" s="166">
        <f>Spieltag!A124</f>
        <v>11</v>
      </c>
      <c r="D137" s="21" t="str">
        <f>Spieltag!B124</f>
        <v>Chris Bedia (A)</v>
      </c>
      <c r="E137" s="151" t="str">
        <f>Spieltag!C124</f>
        <v>Sturm</v>
      </c>
      <c r="F137" s="152" t="s">
        <v>178</v>
      </c>
      <c r="G137" s="153"/>
      <c r="H137" s="154">
        <f t="shared" ref="H137:H139" si="437">IF(G137="x",10,0)</f>
        <v>0</v>
      </c>
      <c r="I137" s="153"/>
      <c r="J137" s="154">
        <f t="shared" ref="J137:J139" si="438">IF((I137="x"),-10,0)</f>
        <v>0</v>
      </c>
      <c r="K137" s="153"/>
      <c r="L137" s="154">
        <f t="shared" ref="L137:L139" si="439">IF((K137="x"),-20,0)</f>
        <v>0</v>
      </c>
      <c r="M137" s="153"/>
      <c r="N137" s="154">
        <f t="shared" ref="N137:N139" si="440">IF((M137="x"),-30,0)</f>
        <v>0</v>
      </c>
      <c r="O137" s="155">
        <f t="shared" si="351"/>
        <v>0</v>
      </c>
      <c r="P137" s="155">
        <f t="shared" si="352"/>
        <v>-5</v>
      </c>
      <c r="Q137" s="155">
        <f t="shared" si="432"/>
        <v>-20</v>
      </c>
      <c r="R137" s="153"/>
      <c r="S137" s="154">
        <f t="shared" ref="S137:S139" si="441">R137*10</f>
        <v>0</v>
      </c>
      <c r="T137" s="153"/>
      <c r="U137" s="154">
        <f t="shared" ref="U137:U139" si="442">T137*-15</f>
        <v>0</v>
      </c>
      <c r="V137" s="155">
        <f t="shared" ref="V137:V139" si="443">IF(AND(R137=2),10,IF(R137=3,30,IF(R137=4,50,IF(R137=5,70,0))))</f>
        <v>0</v>
      </c>
      <c r="W137" s="156">
        <f t="shared" ref="W137:W139" si="444">IF(G137="x",H137+J137+L137+N137+O137+P137+Q137+S137+U137+V137,0)</f>
        <v>0</v>
      </c>
    </row>
    <row r="138" spans="1:23" ht="10.5" hidden="1" customHeight="1" x14ac:dyDescent="0.2">
      <c r="A138" s="11"/>
      <c r="B138" s="150">
        <f>COUNTA(Spieltag!K125:AA125)</f>
        <v>0</v>
      </c>
      <c r="C138" s="166">
        <f>Spieltag!A125</f>
        <v>16</v>
      </c>
      <c r="D138" s="21" t="str">
        <f>Spieltag!B125</f>
        <v>Benedict Hollerbach</v>
      </c>
      <c r="E138" s="151" t="str">
        <f>Spieltag!C125</f>
        <v>Sturm</v>
      </c>
      <c r="F138" s="152" t="s">
        <v>178</v>
      </c>
      <c r="G138" s="153"/>
      <c r="H138" s="154">
        <f t="shared" si="437"/>
        <v>0</v>
      </c>
      <c r="I138" s="153"/>
      <c r="J138" s="154">
        <f t="shared" si="438"/>
        <v>0</v>
      </c>
      <c r="K138" s="153"/>
      <c r="L138" s="154">
        <f t="shared" si="439"/>
        <v>0</v>
      </c>
      <c r="M138" s="153"/>
      <c r="N138" s="154">
        <f t="shared" si="440"/>
        <v>0</v>
      </c>
      <c r="O138" s="155">
        <f t="shared" si="351"/>
        <v>0</v>
      </c>
      <c r="P138" s="155">
        <f t="shared" si="352"/>
        <v>-5</v>
      </c>
      <c r="Q138" s="155">
        <f t="shared" si="432"/>
        <v>-20</v>
      </c>
      <c r="R138" s="153"/>
      <c r="S138" s="154">
        <f t="shared" si="441"/>
        <v>0</v>
      </c>
      <c r="T138" s="153"/>
      <c r="U138" s="154">
        <f t="shared" si="442"/>
        <v>0</v>
      </c>
      <c r="V138" s="155">
        <f t="shared" si="443"/>
        <v>0</v>
      </c>
      <c r="W138" s="156">
        <f t="shared" si="444"/>
        <v>0</v>
      </c>
    </row>
    <row r="139" spans="1:23" ht="10.5" hidden="1" customHeight="1" x14ac:dyDescent="0.2">
      <c r="A139" s="11"/>
      <c r="B139" s="150">
        <f>COUNTA(Spieltag!K126:AA126)</f>
        <v>0</v>
      </c>
      <c r="C139" s="166">
        <f>Spieltag!A126</f>
        <v>17</v>
      </c>
      <c r="D139" s="21" t="str">
        <f>Spieltag!B126</f>
        <v>Kevin Behrens</v>
      </c>
      <c r="E139" s="151" t="str">
        <f>Spieltag!C126</f>
        <v>Sturm</v>
      </c>
      <c r="F139" s="152" t="s">
        <v>178</v>
      </c>
      <c r="G139" s="153"/>
      <c r="H139" s="154">
        <f t="shared" si="437"/>
        <v>0</v>
      </c>
      <c r="I139" s="153"/>
      <c r="J139" s="154">
        <f t="shared" si="438"/>
        <v>0</v>
      </c>
      <c r="K139" s="153"/>
      <c r="L139" s="154">
        <f t="shared" si="439"/>
        <v>0</v>
      </c>
      <c r="M139" s="153"/>
      <c r="N139" s="154">
        <f t="shared" si="440"/>
        <v>0</v>
      </c>
      <c r="O139" s="155">
        <f t="shared" si="351"/>
        <v>0</v>
      </c>
      <c r="P139" s="155">
        <f t="shared" si="352"/>
        <v>-5</v>
      </c>
      <c r="Q139" s="155">
        <f t="shared" si="432"/>
        <v>-20</v>
      </c>
      <c r="R139" s="153"/>
      <c r="S139" s="154">
        <f t="shared" si="441"/>
        <v>0</v>
      </c>
      <c r="T139" s="153"/>
      <c r="U139" s="154">
        <f t="shared" si="442"/>
        <v>0</v>
      </c>
      <c r="V139" s="155">
        <f t="shared" si="443"/>
        <v>0</v>
      </c>
      <c r="W139" s="156">
        <f t="shared" si="444"/>
        <v>0</v>
      </c>
    </row>
    <row r="140" spans="1:23" s="144" customFormat="1" ht="17.25" thickBot="1" x14ac:dyDescent="0.25">
      <c r="A140" s="142"/>
      <c r="B140" s="143">
        <f>SUM(B141:B173)</f>
        <v>7</v>
      </c>
      <c r="C140" s="158"/>
      <c r="D140" s="234" t="s">
        <v>129</v>
      </c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5"/>
    </row>
    <row r="141" spans="1:23" ht="10.5" hidden="1" customHeight="1" x14ac:dyDescent="0.2">
      <c r="A141" s="11"/>
      <c r="B141" s="150">
        <f>COUNTA(Spieltag!K128:AA128)</f>
        <v>0</v>
      </c>
      <c r="C141" s="166">
        <f>Spieltag!A128</f>
        <v>1</v>
      </c>
      <c r="D141" s="21" t="str">
        <f>Spieltag!B128</f>
        <v>Noah Atubolu</v>
      </c>
      <c r="E141" s="151" t="str">
        <f>Spieltag!C128</f>
        <v>Torwart</v>
      </c>
      <c r="F141" s="152" t="s">
        <v>87</v>
      </c>
      <c r="G141" s="153"/>
      <c r="H141" s="154">
        <f t="shared" ref="H141" si="445">IF(G141="x",10,0)</f>
        <v>0</v>
      </c>
      <c r="I141" s="153"/>
      <c r="J141" s="154">
        <f t="shared" ref="J141" si="446">IF((I141="x"),-10,0)</f>
        <v>0</v>
      </c>
      <c r="K141" s="153"/>
      <c r="L141" s="154">
        <f t="shared" ref="L141" si="447">IF((K141="x"),-20,0)</f>
        <v>0</v>
      </c>
      <c r="M141" s="153"/>
      <c r="N141" s="154">
        <f t="shared" ref="N141" si="448">IF((M141="x"),-30,0)</f>
        <v>0</v>
      </c>
      <c r="O141" s="155">
        <f>IF(AND($V$8&gt;$W$8),20,IF($V$8=$W$8,10,0))</f>
        <v>0</v>
      </c>
      <c r="P141" s="155">
        <f>IF(($V$8&lt;&gt;0),$V$8*10,-5)</f>
        <v>10</v>
      </c>
      <c r="Q141" s="155">
        <f>IF(($W$8&lt;&gt;0),$W$8*-10,20)</f>
        <v>-30</v>
      </c>
      <c r="R141" s="153"/>
      <c r="S141" s="154">
        <f>R141*20</f>
        <v>0</v>
      </c>
      <c r="T141" s="153"/>
      <c r="U141" s="154">
        <f t="shared" ref="U141" si="449">T141*-15</f>
        <v>0</v>
      </c>
      <c r="V141" s="155">
        <f t="shared" ref="V141" si="450">IF(AND(R141=2),10,IF(R141=3,30,IF(R141=4,50,IF(R141=5,70,0))))</f>
        <v>0</v>
      </c>
      <c r="W141" s="156">
        <f t="shared" ref="W141" si="451">IF(G141="x",H141+J141+L141+N141+O141+P141+Q141+S141+U141+V141,0)</f>
        <v>0</v>
      </c>
    </row>
    <row r="142" spans="1:23" ht="10.5" hidden="1" customHeight="1" x14ac:dyDescent="0.2">
      <c r="A142" s="11"/>
      <c r="B142" s="150">
        <f>COUNTA(Spieltag!K129:AA129)</f>
        <v>0</v>
      </c>
      <c r="C142" s="166">
        <f>Spieltag!A129</f>
        <v>21</v>
      </c>
      <c r="D142" s="21" t="str">
        <f>Spieltag!B129</f>
        <v>Florian Müller</v>
      </c>
      <c r="E142" s="151" t="str">
        <f>Spieltag!C129</f>
        <v>Torwart</v>
      </c>
      <c r="F142" s="152" t="s">
        <v>87</v>
      </c>
      <c r="G142" s="153"/>
      <c r="H142" s="154">
        <f t="shared" ref="H142:H145" si="452">IF(G142="x",10,0)</f>
        <v>0</v>
      </c>
      <c r="I142" s="153"/>
      <c r="J142" s="154">
        <f t="shared" ref="J142:J145" si="453">IF((I142="x"),-10,0)</f>
        <v>0</v>
      </c>
      <c r="K142" s="153"/>
      <c r="L142" s="154">
        <f t="shared" ref="L142:L145" si="454">IF((K142="x"),-20,0)</f>
        <v>0</v>
      </c>
      <c r="M142" s="153"/>
      <c r="N142" s="154">
        <f t="shared" ref="N142:N145" si="455">IF((M142="x"),-30,0)</f>
        <v>0</v>
      </c>
      <c r="O142" s="155">
        <f t="shared" ref="O142:O145" si="456">IF(AND($V$8&gt;$W$8),20,IF($V$8=$W$8,10,0))</f>
        <v>0</v>
      </c>
      <c r="P142" s="155">
        <f t="shared" ref="P142:P145" si="457">IF(($V$8&lt;&gt;0),$V$8*10,-5)</f>
        <v>10</v>
      </c>
      <c r="Q142" s="155">
        <f t="shared" ref="Q142:Q145" si="458">IF(($W$8&lt;&gt;0),$W$8*-10,20)</f>
        <v>-30</v>
      </c>
      <c r="R142" s="153"/>
      <c r="S142" s="154">
        <f t="shared" ref="S142:S145" si="459">R142*20</f>
        <v>0</v>
      </c>
      <c r="T142" s="153"/>
      <c r="U142" s="154">
        <f t="shared" ref="U142:U145" si="460">T142*-15</f>
        <v>0</v>
      </c>
      <c r="V142" s="155">
        <f t="shared" ref="V142:V145" si="461">IF(AND(R142=2),10,IF(R142=3,30,IF(R142=4,50,IF(R142=5,70,0))))</f>
        <v>0</v>
      </c>
      <c r="W142" s="156">
        <f t="shared" ref="W142:W145" si="462">IF(G142="x",H142+J142+L142+N142+O142+P142+Q142+S142+U142+V142,0)</f>
        <v>0</v>
      </c>
    </row>
    <row r="143" spans="1:23" ht="10.5" hidden="1" customHeight="1" x14ac:dyDescent="0.2">
      <c r="A143" s="11"/>
      <c r="B143" s="150">
        <f>COUNTA(Spieltag!K130:AA130)</f>
        <v>0</v>
      </c>
      <c r="C143" s="166">
        <f>Spieltag!A130</f>
        <v>31</v>
      </c>
      <c r="D143" s="21" t="str">
        <f>Spieltag!B130</f>
        <v>Benjamin Uphoff</v>
      </c>
      <c r="E143" s="151" t="str">
        <f>Spieltag!C130</f>
        <v>Torwart</v>
      </c>
      <c r="F143" s="152" t="s">
        <v>87</v>
      </c>
      <c r="G143" s="153"/>
      <c r="H143" s="154">
        <f t="shared" si="452"/>
        <v>0</v>
      </c>
      <c r="I143" s="153"/>
      <c r="J143" s="154">
        <f t="shared" si="453"/>
        <v>0</v>
      </c>
      <c r="K143" s="153"/>
      <c r="L143" s="154">
        <f t="shared" si="454"/>
        <v>0</v>
      </c>
      <c r="M143" s="153"/>
      <c r="N143" s="154">
        <f t="shared" si="455"/>
        <v>0</v>
      </c>
      <c r="O143" s="155">
        <f t="shared" si="456"/>
        <v>0</v>
      </c>
      <c r="P143" s="155">
        <f t="shared" si="457"/>
        <v>10</v>
      </c>
      <c r="Q143" s="155">
        <f t="shared" si="458"/>
        <v>-30</v>
      </c>
      <c r="R143" s="153"/>
      <c r="S143" s="154">
        <f t="shared" si="459"/>
        <v>0</v>
      </c>
      <c r="T143" s="153"/>
      <c r="U143" s="154">
        <f t="shared" si="460"/>
        <v>0</v>
      </c>
      <c r="V143" s="155">
        <f t="shared" si="461"/>
        <v>0</v>
      </c>
      <c r="W143" s="156">
        <f t="shared" si="462"/>
        <v>0</v>
      </c>
    </row>
    <row r="144" spans="1:23" ht="10.5" hidden="1" customHeight="1" x14ac:dyDescent="0.2">
      <c r="A144" s="11"/>
      <c r="B144" s="150">
        <f>COUNTA(Spieltag!K131:AA131)</f>
        <v>0</v>
      </c>
      <c r="C144" s="166">
        <f>Spieltag!A131</f>
        <v>58</v>
      </c>
      <c r="D144" s="21" t="str">
        <f>Spieltag!B131</f>
        <v>Niklas Sauter</v>
      </c>
      <c r="E144" s="151" t="str">
        <f>Spieltag!C131</f>
        <v>Torwart</v>
      </c>
      <c r="F144" s="152" t="s">
        <v>87</v>
      </c>
      <c r="G144" s="153"/>
      <c r="H144" s="154">
        <f t="shared" ref="H144" si="463">IF(G144="x",10,0)</f>
        <v>0</v>
      </c>
      <c r="I144" s="153"/>
      <c r="J144" s="154">
        <f t="shared" ref="J144" si="464">IF((I144="x"),-10,0)</f>
        <v>0</v>
      </c>
      <c r="K144" s="153"/>
      <c r="L144" s="154">
        <f t="shared" ref="L144" si="465">IF((K144="x"),-20,0)</f>
        <v>0</v>
      </c>
      <c r="M144" s="153"/>
      <c r="N144" s="154">
        <f t="shared" ref="N144" si="466">IF((M144="x"),-30,0)</f>
        <v>0</v>
      </c>
      <c r="O144" s="155">
        <f t="shared" si="456"/>
        <v>0</v>
      </c>
      <c r="P144" s="155">
        <f t="shared" si="457"/>
        <v>10</v>
      </c>
      <c r="Q144" s="155">
        <f t="shared" si="458"/>
        <v>-30</v>
      </c>
      <c r="R144" s="153"/>
      <c r="S144" s="154">
        <f t="shared" ref="S144" si="467">R144*20</f>
        <v>0</v>
      </c>
      <c r="T144" s="153"/>
      <c r="U144" s="154">
        <f t="shared" ref="U144" si="468">T144*-15</f>
        <v>0</v>
      </c>
      <c r="V144" s="155">
        <f t="shared" ref="V144" si="469">IF(AND(R144=2),10,IF(R144=3,30,IF(R144=4,50,IF(R144=5,70,0))))</f>
        <v>0</v>
      </c>
      <c r="W144" s="156">
        <f t="shared" ref="W144" si="470">IF(G144="x",H144+J144+L144+N144+O144+P144+Q144+S144+U144+V144,0)</f>
        <v>0</v>
      </c>
    </row>
    <row r="145" spans="1:23" ht="10.5" hidden="1" customHeight="1" x14ac:dyDescent="0.2">
      <c r="A145" s="11"/>
      <c r="B145" s="150">
        <f>COUNTA(Spieltag!K132:AA132)</f>
        <v>0</v>
      </c>
      <c r="C145" s="166">
        <f>Spieltag!A132</f>
        <v>67</v>
      </c>
      <c r="D145" s="21" t="str">
        <f>Spieltag!B132</f>
        <v>Jaaso Jantunen (A)</v>
      </c>
      <c r="E145" s="151" t="str">
        <f>Spieltag!C132</f>
        <v>Torwart</v>
      </c>
      <c r="F145" s="152" t="s">
        <v>87</v>
      </c>
      <c r="G145" s="153"/>
      <c r="H145" s="154">
        <f t="shared" si="452"/>
        <v>0</v>
      </c>
      <c r="I145" s="153"/>
      <c r="J145" s="154">
        <f t="shared" si="453"/>
        <v>0</v>
      </c>
      <c r="K145" s="153"/>
      <c r="L145" s="154">
        <f t="shared" si="454"/>
        <v>0</v>
      </c>
      <c r="M145" s="153"/>
      <c r="N145" s="154">
        <f t="shared" si="455"/>
        <v>0</v>
      </c>
      <c r="O145" s="155">
        <f t="shared" si="456"/>
        <v>0</v>
      </c>
      <c r="P145" s="155">
        <f t="shared" si="457"/>
        <v>10</v>
      </c>
      <c r="Q145" s="155">
        <f t="shared" si="458"/>
        <v>-30</v>
      </c>
      <c r="R145" s="153"/>
      <c r="S145" s="154">
        <f t="shared" si="459"/>
        <v>0</v>
      </c>
      <c r="T145" s="153"/>
      <c r="U145" s="154">
        <f t="shared" si="460"/>
        <v>0</v>
      </c>
      <c r="V145" s="155">
        <f t="shared" si="461"/>
        <v>0</v>
      </c>
      <c r="W145" s="156">
        <f t="shared" si="462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3</v>
      </c>
      <c r="D146" s="21" t="str">
        <f>Spieltag!B133</f>
        <v>Philipp Lienhart (A)</v>
      </c>
      <c r="E146" s="12" t="str">
        <f>Spieltag!C133</f>
        <v>Abwehr</v>
      </c>
      <c r="F146" s="13" t="s">
        <v>87</v>
      </c>
      <c r="G146" s="14"/>
      <c r="H146" s="15">
        <f t="shared" ref="H146" si="471">IF(G146="x",10,0)</f>
        <v>0</v>
      </c>
      <c r="I146" s="14"/>
      <c r="J146" s="15">
        <f t="shared" ref="J146" si="472">IF((I146="x"),-10,0)</f>
        <v>0</v>
      </c>
      <c r="K146" s="14"/>
      <c r="L146" s="15">
        <f t="shared" ref="L146" si="473">IF((K146="x"),-20,0)</f>
        <v>0</v>
      </c>
      <c r="M146" s="14"/>
      <c r="N146" s="15">
        <f t="shared" ref="N146" si="474">IF((M146="x"),-30,0)</f>
        <v>0</v>
      </c>
      <c r="O146" s="16">
        <f t="shared" ref="O146:O173" si="475">IF(AND($V$8&gt;$W$8),20,IF($V$8=$W$8,10,0))</f>
        <v>0</v>
      </c>
      <c r="P146" s="16">
        <f t="shared" ref="P146:P173" si="476">IF(($V$8&lt;&gt;0),$V$8*10,-5)</f>
        <v>10</v>
      </c>
      <c r="Q146" s="16">
        <f t="shared" ref="Q146:Q155" si="477">IF(($W$8&lt;&gt;0),$W$8*-10,15)</f>
        <v>-30</v>
      </c>
      <c r="R146" s="14"/>
      <c r="S146" s="15">
        <f t="shared" ref="S146" si="478">R146*15</f>
        <v>0</v>
      </c>
      <c r="T146" s="14"/>
      <c r="U146" s="15">
        <f t="shared" ref="U146" si="479">T146*-15</f>
        <v>0</v>
      </c>
      <c r="V146" s="16">
        <f t="shared" ref="V146" si="480">IF(AND(R146=2),10,IF(R146=3,30,IF(R146=4,50,IF(R146=5,70,0))))</f>
        <v>0</v>
      </c>
      <c r="W146" s="17">
        <f t="shared" ref="W146" si="481">IF(G146="x",H146+J146+L146+N146+O146+P146+Q146+S146+U146+V146,0)</f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4</v>
      </c>
      <c r="D147" s="21" t="str">
        <f>Spieltag!B134</f>
        <v>Kenneth Schmidt</v>
      </c>
      <c r="E147" s="12" t="str">
        <f>Spieltag!C134</f>
        <v>Abwehr</v>
      </c>
      <c r="F147" s="13" t="s">
        <v>87</v>
      </c>
      <c r="G147" s="14"/>
      <c r="H147" s="15">
        <f t="shared" ref="H147:H148" si="482">IF(G147="x",10,0)</f>
        <v>0</v>
      </c>
      <c r="I147" s="14"/>
      <c r="J147" s="15">
        <f t="shared" ref="J147:J148" si="483">IF((I147="x"),-10,0)</f>
        <v>0</v>
      </c>
      <c r="K147" s="14"/>
      <c r="L147" s="15">
        <f t="shared" ref="L147:L148" si="484">IF((K147="x"),-20,0)</f>
        <v>0</v>
      </c>
      <c r="M147" s="14"/>
      <c r="N147" s="15">
        <f t="shared" ref="N147:N148" si="485">IF((M147="x"),-30,0)</f>
        <v>0</v>
      </c>
      <c r="O147" s="16">
        <f t="shared" si="475"/>
        <v>0</v>
      </c>
      <c r="P147" s="16">
        <f t="shared" si="476"/>
        <v>10</v>
      </c>
      <c r="Q147" s="16">
        <f t="shared" si="477"/>
        <v>-30</v>
      </c>
      <c r="R147" s="14"/>
      <c r="S147" s="15">
        <f t="shared" ref="S147:S148" si="486">R147*15</f>
        <v>0</v>
      </c>
      <c r="T147" s="14"/>
      <c r="U147" s="15">
        <f t="shared" ref="U147:U148" si="487">T147*-15</f>
        <v>0</v>
      </c>
      <c r="V147" s="16">
        <f t="shared" ref="V147:V148" si="488">IF(AND(R147=2),10,IF(R147=3,30,IF(R147=4,50,IF(R147=5,70,0))))</f>
        <v>0</v>
      </c>
      <c r="W147" s="17">
        <f t="shared" ref="W147:W148" si="489">IF(G147="x",H147+J147+L147+N147+O147+P147+Q147+S147+U147+V147,0)</f>
        <v>0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5</v>
      </c>
      <c r="D148" s="21" t="str">
        <f>Spieltag!B135</f>
        <v>Manuel Gulde</v>
      </c>
      <c r="E148" s="12" t="str">
        <f>Spieltag!C135</f>
        <v>Abwehr</v>
      </c>
      <c r="F148" s="13" t="s">
        <v>87</v>
      </c>
      <c r="G148" s="14"/>
      <c r="H148" s="15">
        <f t="shared" si="482"/>
        <v>0</v>
      </c>
      <c r="I148" s="14"/>
      <c r="J148" s="15">
        <f t="shared" si="483"/>
        <v>0</v>
      </c>
      <c r="K148" s="14"/>
      <c r="L148" s="15">
        <f t="shared" si="484"/>
        <v>0</v>
      </c>
      <c r="M148" s="14"/>
      <c r="N148" s="15">
        <f t="shared" si="485"/>
        <v>0</v>
      </c>
      <c r="O148" s="16">
        <f t="shared" si="475"/>
        <v>0</v>
      </c>
      <c r="P148" s="16">
        <f t="shared" si="476"/>
        <v>10</v>
      </c>
      <c r="Q148" s="16">
        <f t="shared" si="477"/>
        <v>-30</v>
      </c>
      <c r="R148" s="14"/>
      <c r="S148" s="15">
        <f t="shared" si="486"/>
        <v>0</v>
      </c>
      <c r="T148" s="14"/>
      <c r="U148" s="15">
        <f t="shared" si="487"/>
        <v>0</v>
      </c>
      <c r="V148" s="16">
        <f t="shared" si="488"/>
        <v>0</v>
      </c>
      <c r="W148" s="17">
        <f t="shared" si="489"/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6</v>
      </c>
      <c r="D149" s="21" t="str">
        <f>Spieltag!B136</f>
        <v>Attila Szalai (A)</v>
      </c>
      <c r="E149" s="12" t="str">
        <f>Spieltag!C136</f>
        <v>Abwehr</v>
      </c>
      <c r="F149" s="13" t="s">
        <v>87</v>
      </c>
      <c r="G149" s="14"/>
      <c r="H149" s="15">
        <f t="shared" ref="H149:H155" si="490">IF(G149="x",10,0)</f>
        <v>0</v>
      </c>
      <c r="I149" s="14"/>
      <c r="J149" s="15">
        <f t="shared" ref="J149:J155" si="491">IF((I149="x"),-10,0)</f>
        <v>0</v>
      </c>
      <c r="K149" s="14"/>
      <c r="L149" s="15">
        <f t="shared" ref="L149:L155" si="492">IF((K149="x"),-20,0)</f>
        <v>0</v>
      </c>
      <c r="M149" s="14"/>
      <c r="N149" s="15">
        <f t="shared" ref="N149:N155" si="493">IF((M149="x"),-30,0)</f>
        <v>0</v>
      </c>
      <c r="O149" s="16">
        <f t="shared" si="475"/>
        <v>0</v>
      </c>
      <c r="P149" s="16">
        <f t="shared" si="476"/>
        <v>10</v>
      </c>
      <c r="Q149" s="16">
        <f t="shared" si="477"/>
        <v>-30</v>
      </c>
      <c r="R149" s="14"/>
      <c r="S149" s="15">
        <f t="shared" ref="S149:S155" si="494">R149*15</f>
        <v>0</v>
      </c>
      <c r="T149" s="14"/>
      <c r="U149" s="15">
        <f t="shared" ref="U149:U155" si="495">T149*-15</f>
        <v>0</v>
      </c>
      <c r="V149" s="16">
        <f t="shared" ref="V149:V155" si="496">IF(AND(R149=2),10,IF(R149=3,30,IF(R149=4,50,IF(R149=5,70,0))))</f>
        <v>0</v>
      </c>
      <c r="W149" s="17">
        <f t="shared" ref="W149:W155" si="497">IF(G149="x",H149+J149+L149+N149+O149+P149+Q149+S149+U149+V149,0)</f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17</v>
      </c>
      <c r="D150" s="21" t="str">
        <f>Spieltag!B137</f>
        <v>Lukas Kübler</v>
      </c>
      <c r="E150" s="12" t="str">
        <f>Spieltag!C137</f>
        <v>Abwehr</v>
      </c>
      <c r="F150" s="13" t="s">
        <v>87</v>
      </c>
      <c r="G150" s="14"/>
      <c r="H150" s="15">
        <f t="shared" si="490"/>
        <v>0</v>
      </c>
      <c r="I150" s="14"/>
      <c r="J150" s="15">
        <f t="shared" si="491"/>
        <v>0</v>
      </c>
      <c r="K150" s="14"/>
      <c r="L150" s="15">
        <f t="shared" si="492"/>
        <v>0</v>
      </c>
      <c r="M150" s="14"/>
      <c r="N150" s="15">
        <f t="shared" si="493"/>
        <v>0</v>
      </c>
      <c r="O150" s="16">
        <f t="shared" si="475"/>
        <v>0</v>
      </c>
      <c r="P150" s="16">
        <f t="shared" si="476"/>
        <v>10</v>
      </c>
      <c r="Q150" s="16">
        <f t="shared" si="477"/>
        <v>-30</v>
      </c>
      <c r="R150" s="14"/>
      <c r="S150" s="15">
        <f t="shared" si="494"/>
        <v>0</v>
      </c>
      <c r="T150" s="14"/>
      <c r="U150" s="15">
        <f t="shared" si="495"/>
        <v>0</v>
      </c>
      <c r="V150" s="16">
        <f t="shared" si="496"/>
        <v>0</v>
      </c>
      <c r="W150" s="17">
        <f t="shared" si="497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25</v>
      </c>
      <c r="D151" s="21" t="str">
        <f>Spieltag!B138</f>
        <v>Kiliann Sildillia (A)</v>
      </c>
      <c r="E151" s="12" t="str">
        <f>Spieltag!C138</f>
        <v>Abwehr</v>
      </c>
      <c r="F151" s="13" t="s">
        <v>87</v>
      </c>
      <c r="G151" s="14"/>
      <c r="H151" s="15">
        <f t="shared" si="490"/>
        <v>0</v>
      </c>
      <c r="I151" s="14"/>
      <c r="J151" s="15">
        <f t="shared" si="491"/>
        <v>0</v>
      </c>
      <c r="K151" s="14"/>
      <c r="L151" s="15">
        <f t="shared" si="492"/>
        <v>0</v>
      </c>
      <c r="M151" s="14"/>
      <c r="N151" s="15">
        <f t="shared" si="493"/>
        <v>0</v>
      </c>
      <c r="O151" s="16">
        <f t="shared" si="475"/>
        <v>0</v>
      </c>
      <c r="P151" s="16">
        <f t="shared" si="476"/>
        <v>10</v>
      </c>
      <c r="Q151" s="16">
        <f t="shared" si="477"/>
        <v>-30</v>
      </c>
      <c r="R151" s="14"/>
      <c r="S151" s="15">
        <f t="shared" si="494"/>
        <v>0</v>
      </c>
      <c r="T151" s="14"/>
      <c r="U151" s="15">
        <f t="shared" si="495"/>
        <v>0</v>
      </c>
      <c r="V151" s="16">
        <f t="shared" si="496"/>
        <v>0</v>
      </c>
      <c r="W151" s="17">
        <f t="shared" si="497"/>
        <v>0</v>
      </c>
    </row>
    <row r="152" spans="1:23" ht="10.5" customHeight="1" x14ac:dyDescent="0.2">
      <c r="A152" s="11"/>
      <c r="B152" s="149">
        <f>COUNTA(Spieltag!K139:AA139)</f>
        <v>4</v>
      </c>
      <c r="C152" s="166">
        <f>Spieltag!A139</f>
        <v>28</v>
      </c>
      <c r="D152" s="21" t="str">
        <f>Spieltag!B139</f>
        <v>Matthias Ginter</v>
      </c>
      <c r="E152" s="12" t="str">
        <f>Spieltag!C139</f>
        <v>Abwehr</v>
      </c>
      <c r="F152" s="13" t="s">
        <v>87</v>
      </c>
      <c r="G152" s="14" t="s">
        <v>675</v>
      </c>
      <c r="H152" s="15">
        <f t="shared" si="490"/>
        <v>10</v>
      </c>
      <c r="I152" s="14" t="s">
        <v>675</v>
      </c>
      <c r="J152" s="15">
        <f t="shared" si="491"/>
        <v>-10</v>
      </c>
      <c r="K152" s="14"/>
      <c r="L152" s="15">
        <f t="shared" si="492"/>
        <v>0</v>
      </c>
      <c r="M152" s="14"/>
      <c r="N152" s="15">
        <f t="shared" si="493"/>
        <v>0</v>
      </c>
      <c r="O152" s="16">
        <f t="shared" si="475"/>
        <v>0</v>
      </c>
      <c r="P152" s="16">
        <f t="shared" si="476"/>
        <v>10</v>
      </c>
      <c r="Q152" s="16">
        <f t="shared" si="477"/>
        <v>-30</v>
      </c>
      <c r="R152" s="14"/>
      <c r="S152" s="15">
        <f t="shared" si="494"/>
        <v>0</v>
      </c>
      <c r="T152" s="14"/>
      <c r="U152" s="15">
        <f t="shared" si="495"/>
        <v>0</v>
      </c>
      <c r="V152" s="16">
        <f t="shared" si="496"/>
        <v>0</v>
      </c>
      <c r="W152" s="17">
        <f t="shared" si="497"/>
        <v>-20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30</v>
      </c>
      <c r="D153" s="21" t="str">
        <f>Spieltag!B140</f>
        <v>Christian Günter</v>
      </c>
      <c r="E153" s="12" t="str">
        <f>Spieltag!C140</f>
        <v>Abwehr</v>
      </c>
      <c r="F153" s="13" t="s">
        <v>87</v>
      </c>
      <c r="G153" s="14"/>
      <c r="H153" s="15">
        <f t="shared" si="490"/>
        <v>0</v>
      </c>
      <c r="I153" s="14"/>
      <c r="J153" s="15">
        <f t="shared" si="491"/>
        <v>0</v>
      </c>
      <c r="K153" s="14"/>
      <c r="L153" s="15">
        <f t="shared" si="492"/>
        <v>0</v>
      </c>
      <c r="M153" s="14"/>
      <c r="N153" s="15">
        <f t="shared" si="493"/>
        <v>0</v>
      </c>
      <c r="O153" s="16">
        <f t="shared" si="475"/>
        <v>0</v>
      </c>
      <c r="P153" s="16">
        <f t="shared" si="476"/>
        <v>10</v>
      </c>
      <c r="Q153" s="16">
        <f t="shared" si="477"/>
        <v>-30</v>
      </c>
      <c r="R153" s="14"/>
      <c r="S153" s="15">
        <f t="shared" si="494"/>
        <v>0</v>
      </c>
      <c r="T153" s="14"/>
      <c r="U153" s="15">
        <f t="shared" si="495"/>
        <v>0</v>
      </c>
      <c r="V153" s="16">
        <f t="shared" si="496"/>
        <v>0</v>
      </c>
      <c r="W153" s="17">
        <f t="shared" si="497"/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33</v>
      </c>
      <c r="D154" s="21" t="str">
        <f>Spieltag!B141</f>
        <v>Jordy Makengo (A)</v>
      </c>
      <c r="E154" s="12" t="str">
        <f>Spieltag!C141</f>
        <v>Abwehr</v>
      </c>
      <c r="F154" s="13" t="s">
        <v>87</v>
      </c>
      <c r="G154" s="14"/>
      <c r="H154" s="15">
        <f t="shared" si="490"/>
        <v>0</v>
      </c>
      <c r="I154" s="14"/>
      <c r="J154" s="15">
        <f t="shared" si="491"/>
        <v>0</v>
      </c>
      <c r="K154" s="14"/>
      <c r="L154" s="15">
        <f t="shared" si="492"/>
        <v>0</v>
      </c>
      <c r="M154" s="14"/>
      <c r="N154" s="15">
        <f t="shared" si="493"/>
        <v>0</v>
      </c>
      <c r="O154" s="16">
        <f t="shared" si="475"/>
        <v>0</v>
      </c>
      <c r="P154" s="16">
        <f t="shared" si="476"/>
        <v>10</v>
      </c>
      <c r="Q154" s="16">
        <f t="shared" si="477"/>
        <v>-30</v>
      </c>
      <c r="R154" s="14"/>
      <c r="S154" s="15">
        <f t="shared" si="494"/>
        <v>0</v>
      </c>
      <c r="T154" s="14"/>
      <c r="U154" s="15">
        <f t="shared" si="495"/>
        <v>0</v>
      </c>
      <c r="V154" s="16">
        <f t="shared" si="496"/>
        <v>0</v>
      </c>
      <c r="W154" s="17">
        <f t="shared" si="497"/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37</v>
      </c>
      <c r="D155" s="21" t="str">
        <f>Spieltag!B142</f>
        <v>Max Rosenfelder</v>
      </c>
      <c r="E155" s="12" t="str">
        <f>Spieltag!C142</f>
        <v>Abwehr</v>
      </c>
      <c r="F155" s="13" t="s">
        <v>87</v>
      </c>
      <c r="G155" s="14"/>
      <c r="H155" s="15">
        <f t="shared" si="490"/>
        <v>0</v>
      </c>
      <c r="I155" s="14"/>
      <c r="J155" s="15">
        <f t="shared" si="491"/>
        <v>0</v>
      </c>
      <c r="K155" s="14"/>
      <c r="L155" s="15">
        <f t="shared" si="492"/>
        <v>0</v>
      </c>
      <c r="M155" s="14"/>
      <c r="N155" s="15">
        <f t="shared" si="493"/>
        <v>0</v>
      </c>
      <c r="O155" s="16">
        <f t="shared" si="475"/>
        <v>0</v>
      </c>
      <c r="P155" s="16">
        <f t="shared" si="476"/>
        <v>10</v>
      </c>
      <c r="Q155" s="16">
        <f t="shared" si="477"/>
        <v>-30</v>
      </c>
      <c r="R155" s="14"/>
      <c r="S155" s="15">
        <f t="shared" si="494"/>
        <v>0</v>
      </c>
      <c r="T155" s="14"/>
      <c r="U155" s="15">
        <f t="shared" si="495"/>
        <v>0</v>
      </c>
      <c r="V155" s="16">
        <f t="shared" si="496"/>
        <v>0</v>
      </c>
      <c r="W155" s="17">
        <f t="shared" si="497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7</v>
      </c>
      <c r="D156" s="21" t="str">
        <f>Spieltag!B143</f>
        <v>Noah Weisshaupt</v>
      </c>
      <c r="E156" s="12" t="str">
        <f>Spieltag!C143</f>
        <v>Mittelfeld</v>
      </c>
      <c r="F156" s="13" t="s">
        <v>87</v>
      </c>
      <c r="G156" s="14"/>
      <c r="H156" s="15">
        <f t="shared" ref="H156" si="498">IF(G156="x",10,0)</f>
        <v>0</v>
      </c>
      <c r="I156" s="14"/>
      <c r="J156" s="15">
        <f t="shared" ref="J156" si="499">IF((I156="x"),-10,0)</f>
        <v>0</v>
      </c>
      <c r="K156" s="14"/>
      <c r="L156" s="15">
        <f t="shared" ref="L156" si="500">IF((K156="x"),-20,0)</f>
        <v>0</v>
      </c>
      <c r="M156" s="14"/>
      <c r="N156" s="15">
        <f t="shared" ref="N156" si="501">IF((M156="x"),-30,0)</f>
        <v>0</v>
      </c>
      <c r="O156" s="16">
        <f t="shared" si="475"/>
        <v>0</v>
      </c>
      <c r="P156" s="16">
        <f t="shared" si="476"/>
        <v>10</v>
      </c>
      <c r="Q156" s="16">
        <f t="shared" ref="Q156:Q168" si="502">IF(($W$8&lt;&gt;0),$W$8*-10,10)</f>
        <v>-30</v>
      </c>
      <c r="R156" s="14"/>
      <c r="S156" s="15">
        <f t="shared" ref="S156" si="503">R156*10</f>
        <v>0</v>
      </c>
      <c r="T156" s="14"/>
      <c r="U156" s="15">
        <f t="shared" ref="U156" si="504">T156*-15</f>
        <v>0</v>
      </c>
      <c r="V156" s="16">
        <f t="shared" ref="V156" si="505">IF(AND(R156=2),10,IF(R156=3,30,IF(R156=4,50,IF(R156=5,70,0))))</f>
        <v>0</v>
      </c>
      <c r="W156" s="17">
        <f t="shared" ref="W156" si="506">IF(G156="x",H156+J156+L156+N156+O156+P156+Q156+S156+U156+V156,0)</f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8</v>
      </c>
      <c r="D157" s="21" t="str">
        <f>Spieltag!B144</f>
        <v>Maximilian Eggestein</v>
      </c>
      <c r="E157" s="12" t="str">
        <f>Spieltag!C144</f>
        <v>Mittelfeld</v>
      </c>
      <c r="F157" s="13" t="s">
        <v>87</v>
      </c>
      <c r="G157" s="14"/>
      <c r="H157" s="15">
        <f t="shared" ref="H157:H168" si="507">IF(G157="x",10,0)</f>
        <v>0</v>
      </c>
      <c r="I157" s="14"/>
      <c r="J157" s="15">
        <f t="shared" ref="J157:J168" si="508">IF((I157="x"),-10,0)</f>
        <v>0</v>
      </c>
      <c r="K157" s="14"/>
      <c r="L157" s="15">
        <f t="shared" ref="L157:L168" si="509">IF((K157="x"),-20,0)</f>
        <v>0</v>
      </c>
      <c r="M157" s="14"/>
      <c r="N157" s="15">
        <f t="shared" ref="N157:N168" si="510">IF((M157="x"),-30,0)</f>
        <v>0</v>
      </c>
      <c r="O157" s="16">
        <f t="shared" si="475"/>
        <v>0</v>
      </c>
      <c r="P157" s="16">
        <f t="shared" si="476"/>
        <v>10</v>
      </c>
      <c r="Q157" s="16">
        <f t="shared" si="502"/>
        <v>-30</v>
      </c>
      <c r="R157" s="14"/>
      <c r="S157" s="15">
        <f t="shared" ref="S157:S168" si="511">R157*10</f>
        <v>0</v>
      </c>
      <c r="T157" s="14"/>
      <c r="U157" s="15">
        <f t="shared" ref="U157:U168" si="512">T157*-15</f>
        <v>0</v>
      </c>
      <c r="V157" s="16">
        <f t="shared" ref="V157:V168" si="513">IF(AND(R157=2),10,IF(R157=3,30,IF(R157=4,50,IF(R157=5,70,0))))</f>
        <v>0</v>
      </c>
      <c r="W157" s="17">
        <f t="shared" ref="W157:W168" si="514">IF(G157="x",H157+J157+L157+N157+O157+P157+Q157+S157+U157+V157,0)</f>
        <v>0</v>
      </c>
    </row>
    <row r="158" spans="1:23" ht="10.5" hidden="1" customHeight="1" x14ac:dyDescent="0.2">
      <c r="A158" s="11"/>
      <c r="B158" s="149">
        <f>COUNTA(Spieltag!K145:AA145)</f>
        <v>0</v>
      </c>
      <c r="C158" s="166">
        <f>Spieltag!A145</f>
        <v>11</v>
      </c>
      <c r="D158" s="21" t="str">
        <f>Spieltag!B145</f>
        <v>Daniel-Kofi Kyereh</v>
      </c>
      <c r="E158" s="12" t="str">
        <f>Spieltag!C145</f>
        <v>Mittelfeld</v>
      </c>
      <c r="F158" s="13" t="s">
        <v>87</v>
      </c>
      <c r="G158" s="14"/>
      <c r="H158" s="15">
        <f t="shared" si="507"/>
        <v>0</v>
      </c>
      <c r="I158" s="14"/>
      <c r="J158" s="15">
        <f t="shared" si="508"/>
        <v>0</v>
      </c>
      <c r="K158" s="14"/>
      <c r="L158" s="15">
        <f t="shared" si="509"/>
        <v>0</v>
      </c>
      <c r="M158" s="14"/>
      <c r="N158" s="15">
        <f t="shared" si="510"/>
        <v>0</v>
      </c>
      <c r="O158" s="16">
        <f t="shared" si="475"/>
        <v>0</v>
      </c>
      <c r="P158" s="16">
        <f t="shared" si="476"/>
        <v>10</v>
      </c>
      <c r="Q158" s="16">
        <f t="shared" si="502"/>
        <v>-30</v>
      </c>
      <c r="R158" s="14"/>
      <c r="S158" s="15">
        <f t="shared" si="511"/>
        <v>0</v>
      </c>
      <c r="T158" s="14"/>
      <c r="U158" s="15">
        <f t="shared" si="512"/>
        <v>0</v>
      </c>
      <c r="V158" s="16">
        <f t="shared" si="513"/>
        <v>0</v>
      </c>
      <c r="W158" s="17">
        <f t="shared" si="514"/>
        <v>0</v>
      </c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14</v>
      </c>
      <c r="D159" s="21" t="str">
        <f>Spieltag!B146</f>
        <v>Yannik Keitel</v>
      </c>
      <c r="E159" s="12" t="str">
        <f>Spieltag!C146</f>
        <v>Mittelfeld</v>
      </c>
      <c r="F159" s="13" t="s">
        <v>87</v>
      </c>
      <c r="G159" s="14"/>
      <c r="H159" s="15">
        <f t="shared" si="507"/>
        <v>0</v>
      </c>
      <c r="I159" s="14"/>
      <c r="J159" s="15">
        <f t="shared" si="508"/>
        <v>0</v>
      </c>
      <c r="K159" s="14"/>
      <c r="L159" s="15">
        <f t="shared" si="509"/>
        <v>0</v>
      </c>
      <c r="M159" s="14"/>
      <c r="N159" s="15">
        <f t="shared" si="510"/>
        <v>0</v>
      </c>
      <c r="O159" s="16">
        <f t="shared" si="475"/>
        <v>0</v>
      </c>
      <c r="P159" s="16">
        <f t="shared" si="476"/>
        <v>10</v>
      </c>
      <c r="Q159" s="16">
        <f t="shared" si="502"/>
        <v>-30</v>
      </c>
      <c r="R159" s="14"/>
      <c r="S159" s="15">
        <f t="shared" si="511"/>
        <v>0</v>
      </c>
      <c r="T159" s="14"/>
      <c r="U159" s="15">
        <f t="shared" si="512"/>
        <v>0</v>
      </c>
      <c r="V159" s="16">
        <f t="shared" si="513"/>
        <v>0</v>
      </c>
      <c r="W159" s="17">
        <f t="shared" si="514"/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22</v>
      </c>
      <c r="D160" s="21" t="str">
        <f>Spieltag!B147</f>
        <v>Roland Sallai (A)</v>
      </c>
      <c r="E160" s="12" t="str">
        <f>Spieltag!C147</f>
        <v>Mittelfeld</v>
      </c>
      <c r="F160" s="13" t="s">
        <v>87</v>
      </c>
      <c r="G160" s="14"/>
      <c r="H160" s="15">
        <f t="shared" si="507"/>
        <v>0</v>
      </c>
      <c r="I160" s="14"/>
      <c r="J160" s="15">
        <f t="shared" si="508"/>
        <v>0</v>
      </c>
      <c r="K160" s="14"/>
      <c r="L160" s="15">
        <f t="shared" si="509"/>
        <v>0</v>
      </c>
      <c r="M160" s="14"/>
      <c r="N160" s="15">
        <f t="shared" si="510"/>
        <v>0</v>
      </c>
      <c r="O160" s="16">
        <f t="shared" si="475"/>
        <v>0</v>
      </c>
      <c r="P160" s="16">
        <f t="shared" si="476"/>
        <v>10</v>
      </c>
      <c r="Q160" s="16">
        <f t="shared" si="502"/>
        <v>-30</v>
      </c>
      <c r="R160" s="14"/>
      <c r="S160" s="15">
        <f t="shared" si="511"/>
        <v>0</v>
      </c>
      <c r="T160" s="14"/>
      <c r="U160" s="15">
        <f t="shared" si="512"/>
        <v>0</v>
      </c>
      <c r="V160" s="16">
        <f t="shared" si="513"/>
        <v>0</v>
      </c>
      <c r="W160" s="17">
        <f t="shared" si="514"/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23</v>
      </c>
      <c r="D161" s="21" t="str">
        <f>Spieltag!B148</f>
        <v>Florent Muslija</v>
      </c>
      <c r="E161" s="12" t="str">
        <f>Spieltag!C148</f>
        <v>Mittelfeld</v>
      </c>
      <c r="F161" s="13" t="s">
        <v>87</v>
      </c>
      <c r="G161" s="14"/>
      <c r="H161" s="15">
        <f t="shared" ref="H161" si="515">IF(G161="x",10,0)</f>
        <v>0</v>
      </c>
      <c r="I161" s="14"/>
      <c r="J161" s="15">
        <f t="shared" ref="J161" si="516">IF((I161="x"),-10,0)</f>
        <v>0</v>
      </c>
      <c r="K161" s="14"/>
      <c r="L161" s="15">
        <f t="shared" ref="L161" si="517">IF((K161="x"),-20,0)</f>
        <v>0</v>
      </c>
      <c r="M161" s="14"/>
      <c r="N161" s="15">
        <f t="shared" ref="N161" si="518">IF((M161="x"),-30,0)</f>
        <v>0</v>
      </c>
      <c r="O161" s="16">
        <f t="shared" si="475"/>
        <v>0</v>
      </c>
      <c r="P161" s="16">
        <f t="shared" si="476"/>
        <v>10</v>
      </c>
      <c r="Q161" s="16">
        <f t="shared" si="502"/>
        <v>-30</v>
      </c>
      <c r="R161" s="14"/>
      <c r="S161" s="15">
        <f t="shared" ref="S161" si="519">R161*10</f>
        <v>0</v>
      </c>
      <c r="T161" s="14"/>
      <c r="U161" s="15">
        <f t="shared" ref="U161" si="520">T161*-15</f>
        <v>0</v>
      </c>
      <c r="V161" s="16">
        <f t="shared" ref="V161" si="521">IF(AND(R161=2),10,IF(R161=3,30,IF(R161=4,50,IF(R161=5,70,0))))</f>
        <v>0</v>
      </c>
      <c r="W161" s="17">
        <f t="shared" ref="W161" si="522">IF(G161="x",H161+J161+L161+N161+O161+P161+Q161+S161+U161+V161,0)</f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27</v>
      </c>
      <c r="D162" s="21" t="str">
        <f>Spieltag!B149</f>
        <v>Nicolas Höfler</v>
      </c>
      <c r="E162" s="12" t="str">
        <f>Spieltag!C149</f>
        <v>Mittelfeld</v>
      </c>
      <c r="F162" s="13" t="s">
        <v>87</v>
      </c>
      <c r="G162" s="14"/>
      <c r="H162" s="15">
        <f t="shared" si="507"/>
        <v>0</v>
      </c>
      <c r="I162" s="14"/>
      <c r="J162" s="15">
        <f t="shared" si="508"/>
        <v>0</v>
      </c>
      <c r="K162" s="14"/>
      <c r="L162" s="15">
        <f t="shared" si="509"/>
        <v>0</v>
      </c>
      <c r="M162" s="14"/>
      <c r="N162" s="15">
        <f t="shared" si="510"/>
        <v>0</v>
      </c>
      <c r="O162" s="16">
        <f t="shared" si="475"/>
        <v>0</v>
      </c>
      <c r="P162" s="16">
        <f t="shared" si="476"/>
        <v>10</v>
      </c>
      <c r="Q162" s="16">
        <f t="shared" si="502"/>
        <v>-30</v>
      </c>
      <c r="R162" s="14"/>
      <c r="S162" s="15">
        <f t="shared" si="511"/>
        <v>0</v>
      </c>
      <c r="T162" s="14"/>
      <c r="U162" s="15">
        <f t="shared" si="512"/>
        <v>0</v>
      </c>
      <c r="V162" s="16">
        <f t="shared" si="513"/>
        <v>0</v>
      </c>
      <c r="W162" s="17">
        <f t="shared" si="514"/>
        <v>0</v>
      </c>
    </row>
    <row r="163" spans="1:23" ht="10.5" customHeight="1" x14ac:dyDescent="0.2">
      <c r="A163" s="11"/>
      <c r="B163" s="149">
        <f>COUNTA(Spieltag!K150:AA150)</f>
        <v>3</v>
      </c>
      <c r="C163" s="166">
        <f>Spieltag!A150</f>
        <v>32</v>
      </c>
      <c r="D163" s="21" t="str">
        <f>Spieltag!B150</f>
        <v>Vincenzo Grifo</v>
      </c>
      <c r="E163" s="12" t="str">
        <f>Spieltag!C150</f>
        <v>Mittelfeld</v>
      </c>
      <c r="F163" s="13" t="s">
        <v>87</v>
      </c>
      <c r="G163" s="14" t="s">
        <v>675</v>
      </c>
      <c r="H163" s="15">
        <f t="shared" si="507"/>
        <v>10</v>
      </c>
      <c r="I163" s="14"/>
      <c r="J163" s="15">
        <f t="shared" si="508"/>
        <v>0</v>
      </c>
      <c r="K163" s="14"/>
      <c r="L163" s="15">
        <f t="shared" si="509"/>
        <v>0</v>
      </c>
      <c r="M163" s="14"/>
      <c r="N163" s="15">
        <f t="shared" si="510"/>
        <v>0</v>
      </c>
      <c r="O163" s="16">
        <f t="shared" si="475"/>
        <v>0</v>
      </c>
      <c r="P163" s="16">
        <f t="shared" si="476"/>
        <v>10</v>
      </c>
      <c r="Q163" s="16">
        <f t="shared" si="502"/>
        <v>-30</v>
      </c>
      <c r="R163" s="14"/>
      <c r="S163" s="15">
        <f t="shared" si="511"/>
        <v>0</v>
      </c>
      <c r="T163" s="14"/>
      <c r="U163" s="15">
        <f t="shared" si="512"/>
        <v>0</v>
      </c>
      <c r="V163" s="16">
        <f t="shared" si="513"/>
        <v>0</v>
      </c>
      <c r="W163" s="17">
        <f t="shared" si="514"/>
        <v>-10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34</v>
      </c>
      <c r="D164" s="21" t="str">
        <f>Spieltag!B151</f>
        <v>Merlin Röhl</v>
      </c>
      <c r="E164" s="12" t="str">
        <f>Spieltag!C151</f>
        <v>Mittelfeld</v>
      </c>
      <c r="F164" s="13" t="s">
        <v>87</v>
      </c>
      <c r="G164" s="14"/>
      <c r="H164" s="15">
        <f t="shared" si="507"/>
        <v>0</v>
      </c>
      <c r="I164" s="14"/>
      <c r="J164" s="15">
        <f t="shared" si="508"/>
        <v>0</v>
      </c>
      <c r="K164" s="14"/>
      <c r="L164" s="15">
        <f t="shared" si="509"/>
        <v>0</v>
      </c>
      <c r="M164" s="14"/>
      <c r="N164" s="15">
        <f t="shared" si="510"/>
        <v>0</v>
      </c>
      <c r="O164" s="16">
        <f t="shared" si="475"/>
        <v>0</v>
      </c>
      <c r="P164" s="16">
        <f t="shared" si="476"/>
        <v>10</v>
      </c>
      <c r="Q164" s="16">
        <f t="shared" si="502"/>
        <v>-30</v>
      </c>
      <c r="R164" s="14"/>
      <c r="S164" s="15">
        <f t="shared" si="511"/>
        <v>0</v>
      </c>
      <c r="T164" s="14"/>
      <c r="U164" s="15">
        <f t="shared" si="512"/>
        <v>0</v>
      </c>
      <c r="V164" s="16">
        <f t="shared" si="513"/>
        <v>0</v>
      </c>
      <c r="W164" s="17">
        <f t="shared" si="514"/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35</v>
      </c>
      <c r="D165" s="21" t="str">
        <f>Spieltag!B152</f>
        <v>Fabian Rüdlin</v>
      </c>
      <c r="E165" s="12" t="str">
        <f>Spieltag!C152</f>
        <v>Mittelfeld</v>
      </c>
      <c r="F165" s="13" t="s">
        <v>87</v>
      </c>
      <c r="G165" s="14"/>
      <c r="H165" s="15">
        <f t="shared" si="507"/>
        <v>0</v>
      </c>
      <c r="I165" s="14"/>
      <c r="J165" s="15">
        <f t="shared" si="508"/>
        <v>0</v>
      </c>
      <c r="K165" s="14"/>
      <c r="L165" s="15">
        <f t="shared" si="509"/>
        <v>0</v>
      </c>
      <c r="M165" s="14"/>
      <c r="N165" s="15">
        <f t="shared" si="510"/>
        <v>0</v>
      </c>
      <c r="O165" s="16">
        <f t="shared" si="475"/>
        <v>0</v>
      </c>
      <c r="P165" s="16">
        <f t="shared" si="476"/>
        <v>10</v>
      </c>
      <c r="Q165" s="16">
        <f t="shared" si="502"/>
        <v>-30</v>
      </c>
      <c r="R165" s="14"/>
      <c r="S165" s="15">
        <f t="shared" si="511"/>
        <v>0</v>
      </c>
      <c r="T165" s="14"/>
      <c r="U165" s="15">
        <f t="shared" si="512"/>
        <v>0</v>
      </c>
      <c r="V165" s="16">
        <f t="shared" si="513"/>
        <v>0</v>
      </c>
      <c r="W165" s="17">
        <f t="shared" si="514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42</v>
      </c>
      <c r="D166" s="21" t="str">
        <f>Spieltag!B153</f>
        <v>Ritsu Dōan (A)</v>
      </c>
      <c r="E166" s="12" t="str">
        <f>Spieltag!C153</f>
        <v>Mittelfeld</v>
      </c>
      <c r="F166" s="13" t="s">
        <v>87</v>
      </c>
      <c r="G166" s="14"/>
      <c r="H166" s="15">
        <f t="shared" ref="H166:H167" si="523">IF(G166="x",10,0)</f>
        <v>0</v>
      </c>
      <c r="I166" s="14"/>
      <c r="J166" s="15">
        <f t="shared" ref="J166:J167" si="524">IF((I166="x"),-10,0)</f>
        <v>0</v>
      </c>
      <c r="K166" s="14"/>
      <c r="L166" s="15">
        <f t="shared" ref="L166:L167" si="525">IF((K166="x"),-20,0)</f>
        <v>0</v>
      </c>
      <c r="M166" s="14"/>
      <c r="N166" s="15">
        <f t="shared" ref="N166:N167" si="526">IF((M166="x"),-30,0)</f>
        <v>0</v>
      </c>
      <c r="O166" s="16">
        <f t="shared" si="475"/>
        <v>0</v>
      </c>
      <c r="P166" s="16">
        <f t="shared" si="476"/>
        <v>10</v>
      </c>
      <c r="Q166" s="16">
        <f t="shared" si="502"/>
        <v>-30</v>
      </c>
      <c r="R166" s="14"/>
      <c r="S166" s="15">
        <f t="shared" ref="S166:S167" si="527">R166*10</f>
        <v>0</v>
      </c>
      <c r="T166" s="14"/>
      <c r="U166" s="15">
        <f t="shared" ref="U166:U167" si="528">T166*-15</f>
        <v>0</v>
      </c>
      <c r="V166" s="16">
        <f t="shared" ref="V166:V167" si="529">IF(AND(R166=2),10,IF(R166=3,30,IF(R166=4,50,IF(R166=5,70,0))))</f>
        <v>0</v>
      </c>
      <c r="W166" s="17">
        <f t="shared" ref="W166:W167" si="530">IF(G166="x",H166+J166+L166+N166+O166+P166+Q166+S166+U166+V166,0)</f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43</v>
      </c>
      <c r="D167" s="21" t="str">
        <f>Spieltag!B154</f>
        <v>Ryan Johansson (A)</v>
      </c>
      <c r="E167" s="12" t="str">
        <f>Spieltag!C154</f>
        <v>Mittelfeld</v>
      </c>
      <c r="F167" s="13" t="s">
        <v>87</v>
      </c>
      <c r="G167" s="14"/>
      <c r="H167" s="15">
        <f t="shared" si="523"/>
        <v>0</v>
      </c>
      <c r="I167" s="14"/>
      <c r="J167" s="15">
        <f t="shared" si="524"/>
        <v>0</v>
      </c>
      <c r="K167" s="14"/>
      <c r="L167" s="15">
        <f t="shared" si="525"/>
        <v>0</v>
      </c>
      <c r="M167" s="14"/>
      <c r="N167" s="15">
        <f t="shared" si="526"/>
        <v>0</v>
      </c>
      <c r="O167" s="16">
        <f t="shared" si="475"/>
        <v>0</v>
      </c>
      <c r="P167" s="16">
        <f t="shared" si="476"/>
        <v>10</v>
      </c>
      <c r="Q167" s="16">
        <f t="shared" si="502"/>
        <v>-30</v>
      </c>
      <c r="R167" s="14"/>
      <c r="S167" s="15">
        <f t="shared" si="527"/>
        <v>0</v>
      </c>
      <c r="T167" s="14"/>
      <c r="U167" s="15">
        <f t="shared" si="528"/>
        <v>0</v>
      </c>
      <c r="V167" s="16">
        <f t="shared" si="529"/>
        <v>0</v>
      </c>
      <c r="W167" s="17">
        <f t="shared" si="530"/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54</v>
      </c>
      <c r="D168" s="21" t="str">
        <f>Spieltag!B155</f>
        <v>Mika Baur</v>
      </c>
      <c r="E168" s="12" t="str">
        <f>Spieltag!C155</f>
        <v>Mittelfeld</v>
      </c>
      <c r="F168" s="13" t="s">
        <v>87</v>
      </c>
      <c r="G168" s="14"/>
      <c r="H168" s="15">
        <f t="shared" si="507"/>
        <v>0</v>
      </c>
      <c r="I168" s="14"/>
      <c r="J168" s="15">
        <f t="shared" si="508"/>
        <v>0</v>
      </c>
      <c r="K168" s="14"/>
      <c r="L168" s="15">
        <f t="shared" si="509"/>
        <v>0</v>
      </c>
      <c r="M168" s="14"/>
      <c r="N168" s="15">
        <f t="shared" si="510"/>
        <v>0</v>
      </c>
      <c r="O168" s="16">
        <f t="shared" si="475"/>
        <v>0</v>
      </c>
      <c r="P168" s="16">
        <f t="shared" si="476"/>
        <v>10</v>
      </c>
      <c r="Q168" s="16">
        <f t="shared" si="502"/>
        <v>-30</v>
      </c>
      <c r="R168" s="14"/>
      <c r="S168" s="15">
        <f t="shared" si="511"/>
        <v>0</v>
      </c>
      <c r="T168" s="14"/>
      <c r="U168" s="15">
        <f t="shared" si="512"/>
        <v>0</v>
      </c>
      <c r="V168" s="16">
        <f t="shared" si="513"/>
        <v>0</v>
      </c>
      <c r="W168" s="17">
        <f t="shared" si="514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9</v>
      </c>
      <c r="D169" s="21" t="str">
        <f>Spieltag!B156</f>
        <v>Lucas Höler</v>
      </c>
      <c r="E169" s="12" t="str">
        <f>Spieltag!C156</f>
        <v>Sturm</v>
      </c>
      <c r="F169" s="13" t="s">
        <v>87</v>
      </c>
      <c r="G169" s="14"/>
      <c r="H169" s="15">
        <f>IF(G169="x",10,0)</f>
        <v>0</v>
      </c>
      <c r="I169" s="14"/>
      <c r="J169" s="15">
        <f>IF((I169="x"),-10,0)</f>
        <v>0</v>
      </c>
      <c r="K169" s="14"/>
      <c r="L169" s="15">
        <f>IF((K169="x"),-20,0)</f>
        <v>0</v>
      </c>
      <c r="M169" s="14"/>
      <c r="N169" s="15">
        <f>IF((M169="x"),-30,0)</f>
        <v>0</v>
      </c>
      <c r="O169" s="16">
        <f t="shared" si="475"/>
        <v>0</v>
      </c>
      <c r="P169" s="16">
        <f t="shared" si="476"/>
        <v>10</v>
      </c>
      <c r="Q169" s="16">
        <f>IF(($W$8&lt;&gt;0),$W$8*-10,5)</f>
        <v>-30</v>
      </c>
      <c r="R169" s="14"/>
      <c r="S169" s="15">
        <f>R169*10</f>
        <v>0</v>
      </c>
      <c r="T169" s="14"/>
      <c r="U169" s="15">
        <f>T169*-15</f>
        <v>0</v>
      </c>
      <c r="V169" s="16">
        <f>IF(AND(R169=2),10,IF(R169=3,30,IF(R169=4,50,IF(R169=5,70,0))))</f>
        <v>0</v>
      </c>
      <c r="W169" s="17">
        <f>IF(G169="x",H169+J169+L169+N169+O169+P169+Q169+S169+U169+V169,0)</f>
        <v>0</v>
      </c>
    </row>
    <row r="170" spans="1:23" ht="10.5" hidden="1" customHeight="1" x14ac:dyDescent="0.2">
      <c r="A170" s="11"/>
      <c r="B170" s="149">
        <f>COUNTA(Spieltag!K157:AA157)</f>
        <v>0</v>
      </c>
      <c r="C170" s="166">
        <f>Spieltag!A157</f>
        <v>20</v>
      </c>
      <c r="D170" s="21" t="str">
        <f>Spieltag!B157</f>
        <v>Junior Adamu (A)</v>
      </c>
      <c r="E170" s="12" t="str">
        <f>Spieltag!C157</f>
        <v>Sturm</v>
      </c>
      <c r="F170" s="13" t="s">
        <v>87</v>
      </c>
      <c r="G170" s="14"/>
      <c r="H170" s="15">
        <f t="shared" ref="H170:H173" si="531">IF(G170="x",10,0)</f>
        <v>0</v>
      </c>
      <c r="I170" s="14"/>
      <c r="J170" s="15">
        <f t="shared" ref="J170:J173" si="532">IF((I170="x"),-10,0)</f>
        <v>0</v>
      </c>
      <c r="K170" s="14"/>
      <c r="L170" s="15">
        <f t="shared" ref="L170:L173" si="533">IF((K170="x"),-20,0)</f>
        <v>0</v>
      </c>
      <c r="M170" s="14"/>
      <c r="N170" s="15">
        <f t="shared" ref="N170:N173" si="534">IF((M170="x"),-30,0)</f>
        <v>0</v>
      </c>
      <c r="O170" s="16">
        <f t="shared" si="475"/>
        <v>0</v>
      </c>
      <c r="P170" s="16">
        <f t="shared" si="476"/>
        <v>10</v>
      </c>
      <c r="Q170" s="16">
        <f t="shared" ref="Q170:Q173" si="535">IF(($W$8&lt;&gt;0),$W$8*-10,5)</f>
        <v>-30</v>
      </c>
      <c r="R170" s="14"/>
      <c r="S170" s="15">
        <f t="shared" ref="S170:S173" si="536">R170*10</f>
        <v>0</v>
      </c>
      <c r="T170" s="14"/>
      <c r="U170" s="15">
        <f t="shared" ref="U170:U173" si="537">T170*-15</f>
        <v>0</v>
      </c>
      <c r="V170" s="16">
        <f t="shared" ref="V170:V173" si="538">IF(AND(R170=2),10,IF(R170=3,30,IF(R170=4,50,IF(R170=5,70,0))))</f>
        <v>0</v>
      </c>
      <c r="W170" s="17">
        <f t="shared" ref="W170:W173" si="539">IF(G170="x",H170+J170+L170+N170+O170+P170+Q170+S170+U170+V170,0)</f>
        <v>0</v>
      </c>
    </row>
    <row r="171" spans="1:23" ht="10.5" hidden="1" customHeight="1" x14ac:dyDescent="0.2">
      <c r="A171" s="11"/>
      <c r="B171" s="149">
        <f>COUNTA(Spieltag!K158:AA158)</f>
        <v>0</v>
      </c>
      <c r="C171" s="166">
        <f>Spieltag!A158</f>
        <v>26</v>
      </c>
      <c r="D171" s="21" t="str">
        <f>Spieltag!B158</f>
        <v>Maximilian Philipp</v>
      </c>
      <c r="E171" s="12" t="str">
        <f>Spieltag!C158</f>
        <v>Sturm</v>
      </c>
      <c r="F171" s="13" t="s">
        <v>87</v>
      </c>
      <c r="G171" s="14"/>
      <c r="H171" s="15">
        <f t="shared" si="531"/>
        <v>0</v>
      </c>
      <c r="I171" s="14"/>
      <c r="J171" s="15">
        <f t="shared" si="532"/>
        <v>0</v>
      </c>
      <c r="K171" s="14"/>
      <c r="L171" s="15">
        <f t="shared" si="533"/>
        <v>0</v>
      </c>
      <c r="M171" s="14"/>
      <c r="N171" s="15">
        <f t="shared" si="534"/>
        <v>0</v>
      </c>
      <c r="O171" s="16">
        <f t="shared" si="475"/>
        <v>0</v>
      </c>
      <c r="P171" s="16">
        <f t="shared" si="476"/>
        <v>10</v>
      </c>
      <c r="Q171" s="16">
        <f t="shared" si="535"/>
        <v>-30</v>
      </c>
      <c r="R171" s="14"/>
      <c r="S171" s="15">
        <f t="shared" si="536"/>
        <v>0</v>
      </c>
      <c r="T171" s="14"/>
      <c r="U171" s="15">
        <f t="shared" si="537"/>
        <v>0</v>
      </c>
      <c r="V171" s="16">
        <f t="shared" si="538"/>
        <v>0</v>
      </c>
      <c r="W171" s="17">
        <f t="shared" si="539"/>
        <v>0</v>
      </c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38</v>
      </c>
      <c r="D172" s="21" t="str">
        <f>Spieltag!B159</f>
        <v>Michael Gregoritsch (A)</v>
      </c>
      <c r="E172" s="12" t="str">
        <f>Spieltag!C159</f>
        <v>Sturm</v>
      </c>
      <c r="F172" s="13" t="s">
        <v>87</v>
      </c>
      <c r="G172" s="14"/>
      <c r="H172" s="15">
        <f t="shared" ref="H172" si="540">IF(G172="x",10,0)</f>
        <v>0</v>
      </c>
      <c r="I172" s="14"/>
      <c r="J172" s="15">
        <f t="shared" ref="J172" si="541">IF((I172="x"),-10,0)</f>
        <v>0</v>
      </c>
      <c r="K172" s="14"/>
      <c r="L172" s="15">
        <f t="shared" ref="L172" si="542">IF((K172="x"),-20,0)</f>
        <v>0</v>
      </c>
      <c r="M172" s="14"/>
      <c r="N172" s="15">
        <f t="shared" ref="N172" si="543">IF((M172="x"),-30,0)</f>
        <v>0</v>
      </c>
      <c r="O172" s="16">
        <f t="shared" si="475"/>
        <v>0</v>
      </c>
      <c r="P172" s="16">
        <f t="shared" si="476"/>
        <v>10</v>
      </c>
      <c r="Q172" s="16">
        <f t="shared" si="535"/>
        <v>-30</v>
      </c>
      <c r="R172" s="14"/>
      <c r="S172" s="15">
        <f t="shared" ref="S172" si="544">R172*10</f>
        <v>0</v>
      </c>
      <c r="T172" s="14"/>
      <c r="U172" s="15">
        <f t="shared" ref="U172" si="545">T172*-15</f>
        <v>0</v>
      </c>
      <c r="V172" s="16">
        <f t="shared" ref="V172" si="546">IF(AND(R172=2),10,IF(R172=3,30,IF(R172=4,50,IF(R172=5,70,0))))</f>
        <v>0</v>
      </c>
      <c r="W172" s="17">
        <f t="shared" ref="W172" si="547">IF(G172="x",H172+J172+L172+N172+O172+P172+Q172+S172+U172+V172,0)</f>
        <v>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44</v>
      </c>
      <c r="D173" s="21" t="str">
        <f>Spieltag!B160</f>
        <v>Maximilian Breunig</v>
      </c>
      <c r="E173" s="12" t="str">
        <f>Spieltag!C160</f>
        <v>Sturm</v>
      </c>
      <c r="F173" s="13" t="s">
        <v>87</v>
      </c>
      <c r="G173" s="14"/>
      <c r="H173" s="15">
        <f t="shared" si="531"/>
        <v>0</v>
      </c>
      <c r="I173" s="14"/>
      <c r="J173" s="15">
        <f t="shared" si="532"/>
        <v>0</v>
      </c>
      <c r="K173" s="14"/>
      <c r="L173" s="15">
        <f t="shared" si="533"/>
        <v>0</v>
      </c>
      <c r="M173" s="14"/>
      <c r="N173" s="15">
        <f t="shared" si="534"/>
        <v>0</v>
      </c>
      <c r="O173" s="16">
        <f t="shared" si="475"/>
        <v>0</v>
      </c>
      <c r="P173" s="16">
        <f t="shared" si="476"/>
        <v>10</v>
      </c>
      <c r="Q173" s="16">
        <f t="shared" si="535"/>
        <v>-30</v>
      </c>
      <c r="R173" s="14"/>
      <c r="S173" s="15">
        <f t="shared" si="536"/>
        <v>0</v>
      </c>
      <c r="T173" s="14"/>
      <c r="U173" s="15">
        <f t="shared" si="537"/>
        <v>0</v>
      </c>
      <c r="V173" s="16">
        <f t="shared" si="538"/>
        <v>0</v>
      </c>
      <c r="W173" s="17">
        <f t="shared" si="539"/>
        <v>0</v>
      </c>
    </row>
    <row r="174" spans="1:23" s="144" customFormat="1" ht="17.25" thickBot="1" x14ac:dyDescent="0.25">
      <c r="A174" s="142"/>
      <c r="B174" s="143">
        <f>SUM(B175:B204)</f>
        <v>18</v>
      </c>
      <c r="C174" s="158"/>
      <c r="D174" s="234" t="s">
        <v>62</v>
      </c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5"/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1</v>
      </c>
      <c r="D175" s="21" t="str">
        <f>Spieltag!B162</f>
        <v>Lukáš Hrádecký (A)</v>
      </c>
      <c r="E175" s="12" t="str">
        <f>Spieltag!C162</f>
        <v>Torwart</v>
      </c>
      <c r="F175" s="13" t="s">
        <v>56</v>
      </c>
      <c r="G175" s="14"/>
      <c r="H175" s="15">
        <f t="shared" ref="H175" si="548">IF(G175="x",10,0)</f>
        <v>0</v>
      </c>
      <c r="I175" s="14"/>
      <c r="J175" s="15">
        <f t="shared" ref="J175" si="549">IF((I175="x"),-10,0)</f>
        <v>0</v>
      </c>
      <c r="K175" s="14"/>
      <c r="L175" s="15">
        <f t="shared" ref="L175" si="550">IF((K175="x"),-20,0)</f>
        <v>0</v>
      </c>
      <c r="M175" s="14"/>
      <c r="N175" s="15">
        <f t="shared" ref="N175" si="551">IF((M175="x"),-30,0)</f>
        <v>0</v>
      </c>
      <c r="O175" s="16">
        <f t="shared" ref="O175:O204" si="552">IF(AND($P$6&gt;$Q$6),20,IF($P$6=$Q$6,10,0))</f>
        <v>20</v>
      </c>
      <c r="P175" s="16">
        <f t="shared" ref="P175:P204" si="553">IF(($P$6&lt;&gt;0),$P$6*10,-5)</f>
        <v>20</v>
      </c>
      <c r="Q175" s="16">
        <f>IF(($Q$6&lt;&gt;0),$Q$6*-10,20)</f>
        <v>20</v>
      </c>
      <c r="R175" s="14"/>
      <c r="S175" s="15">
        <f>R175*20</f>
        <v>0</v>
      </c>
      <c r="T175" s="14"/>
      <c r="U175" s="15">
        <f t="shared" ref="U175" si="554">T175*-15</f>
        <v>0</v>
      </c>
      <c r="V175" s="16">
        <f t="shared" ref="V175" si="555">IF(AND(R175=2),10,IF(R175=3,30,IF(R175=4,50,IF(R175=5,70,0))))</f>
        <v>0</v>
      </c>
      <c r="W175" s="17">
        <f t="shared" ref="W175" si="556">IF(G175="x",H175+J175+L175+N175+O175+P175+Q175+S175+U175+V175,0)</f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17</v>
      </c>
      <c r="D176" s="21" t="str">
        <f>Spieltag!B163</f>
        <v>Matěj Kovář (A)</v>
      </c>
      <c r="E176" s="12" t="str">
        <f>Spieltag!C163</f>
        <v>Torwart</v>
      </c>
      <c r="F176" s="13" t="s">
        <v>56</v>
      </c>
      <c r="G176" s="14"/>
      <c r="H176" s="15">
        <f t="shared" ref="H176" si="557">IF(G176="x",10,0)</f>
        <v>0</v>
      </c>
      <c r="I176" s="14"/>
      <c r="J176" s="15">
        <f t="shared" ref="J176" si="558">IF((I176="x"),-10,0)</f>
        <v>0</v>
      </c>
      <c r="K176" s="14"/>
      <c r="L176" s="15">
        <f t="shared" ref="L176" si="559">IF((K176="x"),-20,0)</f>
        <v>0</v>
      </c>
      <c r="M176" s="14"/>
      <c r="N176" s="15">
        <f t="shared" ref="N176" si="560">IF((M176="x"),-30,0)</f>
        <v>0</v>
      </c>
      <c r="O176" s="16">
        <f t="shared" si="552"/>
        <v>20</v>
      </c>
      <c r="P176" s="16">
        <f t="shared" si="553"/>
        <v>20</v>
      </c>
      <c r="Q176" s="16">
        <f t="shared" ref="Q176:Q177" si="561">IF(($Q$6&lt;&gt;0),$Q$6*-10,20)</f>
        <v>20</v>
      </c>
      <c r="R176" s="14"/>
      <c r="S176" s="15">
        <f t="shared" ref="S176" si="562">R176*20</f>
        <v>0</v>
      </c>
      <c r="T176" s="14"/>
      <c r="U176" s="15">
        <f t="shared" ref="U176" si="563">T176*-15</f>
        <v>0</v>
      </c>
      <c r="V176" s="16">
        <f t="shared" ref="V176" si="564">IF(AND(R176=2),10,IF(R176=3,30,IF(R176=4,50,IF(R176=5,70,0))))</f>
        <v>0</v>
      </c>
      <c r="W176" s="17">
        <f t="shared" ref="W176" si="565">IF(G176="x",H176+J176+L176+N176+O176+P176+Q176+S176+U176+V176,0)</f>
        <v>0</v>
      </c>
    </row>
    <row r="177" spans="1:23" ht="10.5" hidden="1" customHeight="1" x14ac:dyDescent="0.2">
      <c r="A177" s="11"/>
      <c r="B177" s="149">
        <f>COUNTA(Spieltag!K164:AA164)</f>
        <v>0</v>
      </c>
      <c r="C177" s="166">
        <f>Spieltag!A164</f>
        <v>36</v>
      </c>
      <c r="D177" s="21" t="str">
        <f>Spieltag!B164</f>
        <v>Niklas Lomb</v>
      </c>
      <c r="E177" s="12" t="str">
        <f>Spieltag!C164</f>
        <v>Torwart</v>
      </c>
      <c r="F177" s="13" t="s">
        <v>56</v>
      </c>
      <c r="G177" s="14"/>
      <c r="H177" s="15">
        <f t="shared" ref="H177:H178" si="566">IF(G177="x",10,0)</f>
        <v>0</v>
      </c>
      <c r="I177" s="14"/>
      <c r="J177" s="15">
        <f t="shared" ref="J177:J178" si="567">IF((I177="x"),-10,0)</f>
        <v>0</v>
      </c>
      <c r="K177" s="14"/>
      <c r="L177" s="15">
        <f t="shared" ref="L177:L178" si="568">IF((K177="x"),-20,0)</f>
        <v>0</v>
      </c>
      <c r="M177" s="14"/>
      <c r="N177" s="15">
        <f t="shared" ref="N177:N178" si="569">IF((M177="x"),-30,0)</f>
        <v>0</v>
      </c>
      <c r="O177" s="16">
        <f t="shared" si="552"/>
        <v>20</v>
      </c>
      <c r="P177" s="16">
        <f t="shared" si="553"/>
        <v>20</v>
      </c>
      <c r="Q177" s="16">
        <f t="shared" si="561"/>
        <v>20</v>
      </c>
      <c r="R177" s="14"/>
      <c r="S177" s="15">
        <f t="shared" ref="S177" si="570">R177*20</f>
        <v>0</v>
      </c>
      <c r="T177" s="14"/>
      <c r="U177" s="15">
        <f t="shared" ref="U177:U178" si="571">T177*-15</f>
        <v>0</v>
      </c>
      <c r="V177" s="16">
        <f t="shared" ref="V177:V178" si="572">IF(AND(R177=2),10,IF(R177=3,30,IF(R177=4,50,IF(R177=5,70,0))))</f>
        <v>0</v>
      </c>
      <c r="W177" s="17">
        <f t="shared" ref="W177:W178" si="573">IF(G177="x",H177+J177+L177+N177+O177+P177+Q177+S177+U177+V177,0)</f>
        <v>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2</v>
      </c>
      <c r="D178" s="21" t="str">
        <f>Spieltag!B165</f>
        <v>Josip Stanišić</v>
      </c>
      <c r="E178" s="12" t="str">
        <f>Spieltag!C165</f>
        <v>Abwehr</v>
      </c>
      <c r="F178" s="13" t="s">
        <v>56</v>
      </c>
      <c r="G178" s="14"/>
      <c r="H178" s="15">
        <f t="shared" si="566"/>
        <v>0</v>
      </c>
      <c r="I178" s="14"/>
      <c r="J178" s="15">
        <f t="shared" si="567"/>
        <v>0</v>
      </c>
      <c r="K178" s="14"/>
      <c r="L178" s="15">
        <f t="shared" si="568"/>
        <v>0</v>
      </c>
      <c r="M178" s="14"/>
      <c r="N178" s="15">
        <f t="shared" si="569"/>
        <v>0</v>
      </c>
      <c r="O178" s="16">
        <f t="shared" si="552"/>
        <v>20</v>
      </c>
      <c r="P178" s="16">
        <f t="shared" si="553"/>
        <v>20</v>
      </c>
      <c r="Q178" s="16">
        <f t="shared" ref="Q178:Q188" si="574">IF(($Q$6&lt;&gt;0),$Q$6*-10,15)</f>
        <v>15</v>
      </c>
      <c r="R178" s="14"/>
      <c r="S178" s="15">
        <f t="shared" ref="S178" si="575">R178*15</f>
        <v>0</v>
      </c>
      <c r="T178" s="14"/>
      <c r="U178" s="15">
        <f t="shared" si="571"/>
        <v>0</v>
      </c>
      <c r="V178" s="16">
        <f t="shared" si="572"/>
        <v>0</v>
      </c>
      <c r="W178" s="17">
        <f t="shared" si="573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3</v>
      </c>
      <c r="D179" s="21" t="str">
        <f>Spieltag!B166</f>
        <v>Piero Hincapie (A)</v>
      </c>
      <c r="E179" s="12" t="str">
        <f>Spieltag!C166</f>
        <v>Abwehr</v>
      </c>
      <c r="F179" s="13" t="s">
        <v>56</v>
      </c>
      <c r="G179" s="14"/>
      <c r="H179" s="15">
        <f t="shared" ref="H179" si="576">IF(G179="x",10,0)</f>
        <v>0</v>
      </c>
      <c r="I179" s="14"/>
      <c r="J179" s="15">
        <f t="shared" ref="J179" si="577">IF((I179="x"),-10,0)</f>
        <v>0</v>
      </c>
      <c r="K179" s="14"/>
      <c r="L179" s="15">
        <f t="shared" ref="L179" si="578">IF((K179="x"),-20,0)</f>
        <v>0</v>
      </c>
      <c r="M179" s="14"/>
      <c r="N179" s="15">
        <f t="shared" ref="N179" si="579">IF((M179="x"),-30,0)</f>
        <v>0</v>
      </c>
      <c r="O179" s="16">
        <f t="shared" si="552"/>
        <v>20</v>
      </c>
      <c r="P179" s="16">
        <f t="shared" si="553"/>
        <v>20</v>
      </c>
      <c r="Q179" s="16">
        <f t="shared" si="574"/>
        <v>15</v>
      </c>
      <c r="R179" s="14"/>
      <c r="S179" s="15">
        <f t="shared" ref="S179" si="580">R179*15</f>
        <v>0</v>
      </c>
      <c r="T179" s="14"/>
      <c r="U179" s="15">
        <f t="shared" ref="U179" si="581">T179*-15</f>
        <v>0</v>
      </c>
      <c r="V179" s="16">
        <f t="shared" ref="V179" si="582">IF(AND(R179=2),10,IF(R179=3,30,IF(R179=4,50,IF(R179=5,70,0))))</f>
        <v>0</v>
      </c>
      <c r="W179" s="17">
        <f t="shared" ref="W179" si="583">IF(G179="x",H179+J179+L179+N179+O179+P179+Q179+S179+U179+V179,0)</f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4</v>
      </c>
      <c r="D180" s="21" t="str">
        <f>Spieltag!B167</f>
        <v>Jonathan Tah</v>
      </c>
      <c r="E180" s="12" t="str">
        <f>Spieltag!C167</f>
        <v>Abwehr</v>
      </c>
      <c r="F180" s="13" t="s">
        <v>56</v>
      </c>
      <c r="G180" s="14"/>
      <c r="H180" s="15">
        <f t="shared" ref="H180:H189" si="584">IF(G180="x",10,0)</f>
        <v>0</v>
      </c>
      <c r="I180" s="14"/>
      <c r="J180" s="15">
        <f t="shared" ref="J180:J189" si="585">IF((I180="x"),-10,0)</f>
        <v>0</v>
      </c>
      <c r="K180" s="14"/>
      <c r="L180" s="15">
        <f t="shared" ref="L180:L189" si="586">IF((K180="x"),-20,0)</f>
        <v>0</v>
      </c>
      <c r="M180" s="14"/>
      <c r="N180" s="15">
        <f t="shared" ref="N180:N189" si="587">IF((M180="x"),-30,0)</f>
        <v>0</v>
      </c>
      <c r="O180" s="16">
        <f t="shared" si="552"/>
        <v>20</v>
      </c>
      <c r="P180" s="16">
        <f t="shared" si="553"/>
        <v>20</v>
      </c>
      <c r="Q180" s="16">
        <f t="shared" si="574"/>
        <v>15</v>
      </c>
      <c r="R180" s="14"/>
      <c r="S180" s="15">
        <f t="shared" ref="S180:S188" si="588">R180*15</f>
        <v>0</v>
      </c>
      <c r="T180" s="14"/>
      <c r="U180" s="15">
        <f t="shared" ref="U180:U189" si="589">T180*-15</f>
        <v>0</v>
      </c>
      <c r="V180" s="16">
        <f t="shared" ref="V180:V189" si="590">IF(AND(R180=2),10,IF(R180=3,30,IF(R180=4,50,IF(R180=5,70,0))))</f>
        <v>0</v>
      </c>
      <c r="W180" s="17">
        <f t="shared" ref="W180:W189" si="591">IF(G180="x",H180+J180+L180+N180+O180+P180+Q180+S180+U180+V180,0)</f>
        <v>0</v>
      </c>
    </row>
    <row r="181" spans="1:23" ht="10.5" hidden="1" customHeight="1" x14ac:dyDescent="0.2">
      <c r="A181" s="11"/>
      <c r="B181" s="149">
        <f>COUNTA(Spieltag!K168:AA168)</f>
        <v>0</v>
      </c>
      <c r="C181" s="166">
        <f>Spieltag!A168</f>
        <v>6</v>
      </c>
      <c r="D181" s="21" t="str">
        <f>Spieltag!B168</f>
        <v>Odilou Kossounou (A)</v>
      </c>
      <c r="E181" s="12" t="str">
        <f>Spieltag!C168</f>
        <v>Abwehr</v>
      </c>
      <c r="F181" s="13" t="s">
        <v>56</v>
      </c>
      <c r="G181" s="14"/>
      <c r="H181" s="15">
        <f t="shared" si="584"/>
        <v>0</v>
      </c>
      <c r="I181" s="14"/>
      <c r="J181" s="15">
        <f t="shared" si="585"/>
        <v>0</v>
      </c>
      <c r="K181" s="14"/>
      <c r="L181" s="15">
        <f t="shared" si="586"/>
        <v>0</v>
      </c>
      <c r="M181" s="14"/>
      <c r="N181" s="15">
        <f t="shared" si="587"/>
        <v>0</v>
      </c>
      <c r="O181" s="16">
        <f t="shared" si="552"/>
        <v>20</v>
      </c>
      <c r="P181" s="16">
        <f t="shared" si="553"/>
        <v>20</v>
      </c>
      <c r="Q181" s="16">
        <f t="shared" si="574"/>
        <v>15</v>
      </c>
      <c r="R181" s="14"/>
      <c r="S181" s="15">
        <f t="shared" si="588"/>
        <v>0</v>
      </c>
      <c r="T181" s="14"/>
      <c r="U181" s="15">
        <f t="shared" si="589"/>
        <v>0</v>
      </c>
      <c r="V181" s="16">
        <f t="shared" si="590"/>
        <v>0</v>
      </c>
      <c r="W181" s="17">
        <f t="shared" si="591"/>
        <v>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12</v>
      </c>
      <c r="D182" s="21" t="str">
        <f>Spieltag!B169</f>
        <v>Edmond Tapsoba (A)</v>
      </c>
      <c r="E182" s="12" t="str">
        <f>Spieltag!C169</f>
        <v>Abwehr</v>
      </c>
      <c r="F182" s="13" t="s">
        <v>56</v>
      </c>
      <c r="G182" s="14"/>
      <c r="H182" s="15">
        <f t="shared" si="584"/>
        <v>0</v>
      </c>
      <c r="I182" s="14"/>
      <c r="J182" s="15">
        <f t="shared" si="585"/>
        <v>0</v>
      </c>
      <c r="K182" s="14"/>
      <c r="L182" s="15">
        <f t="shared" si="586"/>
        <v>0</v>
      </c>
      <c r="M182" s="14"/>
      <c r="N182" s="15">
        <f t="shared" si="587"/>
        <v>0</v>
      </c>
      <c r="O182" s="16">
        <f t="shared" si="552"/>
        <v>20</v>
      </c>
      <c r="P182" s="16">
        <f t="shared" si="553"/>
        <v>20</v>
      </c>
      <c r="Q182" s="16">
        <f t="shared" si="574"/>
        <v>15</v>
      </c>
      <c r="R182" s="14"/>
      <c r="S182" s="15">
        <f t="shared" si="588"/>
        <v>0</v>
      </c>
      <c r="T182" s="14"/>
      <c r="U182" s="15">
        <f t="shared" si="589"/>
        <v>0</v>
      </c>
      <c r="V182" s="16">
        <f t="shared" si="590"/>
        <v>0</v>
      </c>
      <c r="W182" s="17">
        <f t="shared" si="591"/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13</v>
      </c>
      <c r="D183" s="21" t="str">
        <f>Spieltag!B170</f>
        <v>Arthur (A)</v>
      </c>
      <c r="E183" s="12" t="str">
        <f>Spieltag!C170</f>
        <v>Abwehr</v>
      </c>
      <c r="F183" s="13" t="s">
        <v>56</v>
      </c>
      <c r="G183" s="14"/>
      <c r="H183" s="15">
        <f t="shared" si="584"/>
        <v>0</v>
      </c>
      <c r="I183" s="14"/>
      <c r="J183" s="15">
        <f t="shared" si="585"/>
        <v>0</v>
      </c>
      <c r="K183" s="14"/>
      <c r="L183" s="15">
        <f t="shared" si="586"/>
        <v>0</v>
      </c>
      <c r="M183" s="14"/>
      <c r="N183" s="15">
        <f t="shared" si="587"/>
        <v>0</v>
      </c>
      <c r="O183" s="16">
        <f t="shared" si="552"/>
        <v>20</v>
      </c>
      <c r="P183" s="16">
        <f t="shared" si="553"/>
        <v>20</v>
      </c>
      <c r="Q183" s="16">
        <f t="shared" si="574"/>
        <v>15</v>
      </c>
      <c r="R183" s="14"/>
      <c r="S183" s="15">
        <f t="shared" si="588"/>
        <v>0</v>
      </c>
      <c r="T183" s="14"/>
      <c r="U183" s="15">
        <f t="shared" si="589"/>
        <v>0</v>
      </c>
      <c r="V183" s="16">
        <f t="shared" si="590"/>
        <v>0</v>
      </c>
      <c r="W183" s="17">
        <f t="shared" si="591"/>
        <v>0</v>
      </c>
    </row>
    <row r="184" spans="1:23" ht="10.5" customHeight="1" x14ac:dyDescent="0.2">
      <c r="A184" s="11"/>
      <c r="B184" s="149">
        <f>COUNTA(Spieltag!K171:AA171)</f>
        <v>1</v>
      </c>
      <c r="C184" s="166">
        <f>Spieltag!A171</f>
        <v>20</v>
      </c>
      <c r="D184" s="21" t="str">
        <f>Spieltag!B171</f>
        <v>Alejandro Grimaldo (A)</v>
      </c>
      <c r="E184" s="12" t="str">
        <f>Spieltag!C171</f>
        <v>Abwehr</v>
      </c>
      <c r="F184" s="13" t="s">
        <v>56</v>
      </c>
      <c r="G184" s="14" t="s">
        <v>675</v>
      </c>
      <c r="H184" s="15">
        <f t="shared" si="584"/>
        <v>10</v>
      </c>
      <c r="I184" s="14"/>
      <c r="J184" s="15">
        <f t="shared" si="585"/>
        <v>0</v>
      </c>
      <c r="K184" s="14"/>
      <c r="L184" s="15">
        <f t="shared" si="586"/>
        <v>0</v>
      </c>
      <c r="M184" s="14"/>
      <c r="N184" s="15">
        <f t="shared" si="587"/>
        <v>0</v>
      </c>
      <c r="O184" s="16">
        <f t="shared" si="552"/>
        <v>20</v>
      </c>
      <c r="P184" s="16">
        <f t="shared" si="553"/>
        <v>20</v>
      </c>
      <c r="Q184" s="16">
        <f t="shared" si="574"/>
        <v>15</v>
      </c>
      <c r="R184" s="14"/>
      <c r="S184" s="15">
        <f t="shared" si="588"/>
        <v>0</v>
      </c>
      <c r="T184" s="14"/>
      <c r="U184" s="15">
        <f t="shared" si="589"/>
        <v>0</v>
      </c>
      <c r="V184" s="16">
        <f t="shared" si="590"/>
        <v>0</v>
      </c>
      <c r="W184" s="17">
        <f t="shared" si="591"/>
        <v>65</v>
      </c>
    </row>
    <row r="185" spans="1:23" ht="10.5" hidden="1" customHeight="1" x14ac:dyDescent="0.2">
      <c r="A185" s="11"/>
      <c r="B185" s="149">
        <f>COUNTA(Spieltag!K172:AA172)</f>
        <v>0</v>
      </c>
      <c r="C185" s="166">
        <f>Spieltag!A172</f>
        <v>24</v>
      </c>
      <c r="D185" s="21" t="str">
        <f>Spieltag!B172</f>
        <v>Timothy Fosu-Mensah (A)</v>
      </c>
      <c r="E185" s="12" t="str">
        <f>Spieltag!C172</f>
        <v>Abwehr</v>
      </c>
      <c r="F185" s="13" t="s">
        <v>56</v>
      </c>
      <c r="G185" s="14"/>
      <c r="H185" s="15">
        <f t="shared" si="584"/>
        <v>0</v>
      </c>
      <c r="I185" s="14"/>
      <c r="J185" s="15">
        <f t="shared" si="585"/>
        <v>0</v>
      </c>
      <c r="K185" s="14"/>
      <c r="L185" s="15">
        <f t="shared" si="586"/>
        <v>0</v>
      </c>
      <c r="M185" s="14"/>
      <c r="N185" s="15">
        <f t="shared" si="587"/>
        <v>0</v>
      </c>
      <c r="O185" s="16">
        <f t="shared" si="552"/>
        <v>20</v>
      </c>
      <c r="P185" s="16">
        <f t="shared" si="553"/>
        <v>20</v>
      </c>
      <c r="Q185" s="16">
        <f t="shared" si="574"/>
        <v>15</v>
      </c>
      <c r="R185" s="14"/>
      <c r="S185" s="15">
        <f t="shared" si="588"/>
        <v>0</v>
      </c>
      <c r="T185" s="14"/>
      <c r="U185" s="15">
        <f t="shared" si="589"/>
        <v>0</v>
      </c>
      <c r="V185" s="16">
        <f t="shared" si="590"/>
        <v>0</v>
      </c>
      <c r="W185" s="17">
        <f t="shared" si="591"/>
        <v>0</v>
      </c>
    </row>
    <row r="186" spans="1:23" ht="10.5" hidden="1" customHeight="1" x14ac:dyDescent="0.2">
      <c r="A186" s="11"/>
      <c r="B186" s="149">
        <f>COUNTA(Spieltag!K173:AA173)</f>
        <v>0</v>
      </c>
      <c r="C186" s="166">
        <f>Spieltag!A173</f>
        <v>30</v>
      </c>
      <c r="D186" s="21" t="str">
        <f>Spieltag!B173</f>
        <v>Jeremie Frimpong (A)</v>
      </c>
      <c r="E186" s="12" t="str">
        <f>Spieltag!C173</f>
        <v>Abwehr</v>
      </c>
      <c r="F186" s="13" t="s">
        <v>56</v>
      </c>
      <c r="G186" s="14"/>
      <c r="H186" s="15">
        <f t="shared" si="584"/>
        <v>0</v>
      </c>
      <c r="I186" s="14"/>
      <c r="J186" s="15">
        <f t="shared" si="585"/>
        <v>0</v>
      </c>
      <c r="K186" s="14"/>
      <c r="L186" s="15">
        <f t="shared" si="586"/>
        <v>0</v>
      </c>
      <c r="M186" s="14"/>
      <c r="N186" s="15">
        <f t="shared" si="587"/>
        <v>0</v>
      </c>
      <c r="O186" s="16">
        <f t="shared" si="552"/>
        <v>20</v>
      </c>
      <c r="P186" s="16">
        <f t="shared" si="553"/>
        <v>20</v>
      </c>
      <c r="Q186" s="16">
        <f t="shared" si="574"/>
        <v>15</v>
      </c>
      <c r="R186" s="14"/>
      <c r="S186" s="15">
        <f t="shared" si="588"/>
        <v>0</v>
      </c>
      <c r="T186" s="14"/>
      <c r="U186" s="15">
        <f t="shared" si="589"/>
        <v>0</v>
      </c>
      <c r="V186" s="16">
        <f t="shared" si="590"/>
        <v>0</v>
      </c>
      <c r="W186" s="17">
        <f t="shared" si="591"/>
        <v>0</v>
      </c>
    </row>
    <row r="187" spans="1:23" ht="10.5" hidden="1" customHeight="1" x14ac:dyDescent="0.2">
      <c r="A187" s="11"/>
      <c r="B187" s="149">
        <f>COUNTA(Spieltag!K174:AA174)</f>
        <v>0</v>
      </c>
      <c r="C187" s="166">
        <f>Spieltag!A174</f>
        <v>31</v>
      </c>
      <c r="D187" s="21" t="str">
        <f>Spieltag!B174</f>
        <v>Madi Monamay (A)</v>
      </c>
      <c r="E187" s="12" t="str">
        <f>Spieltag!C174</f>
        <v>Abwehr</v>
      </c>
      <c r="F187" s="13" t="s">
        <v>56</v>
      </c>
      <c r="G187" s="14"/>
      <c r="H187" s="15">
        <f t="shared" ref="H187" si="592">IF(G187="x",10,0)</f>
        <v>0</v>
      </c>
      <c r="I187" s="14"/>
      <c r="J187" s="15">
        <f t="shared" ref="J187" si="593">IF((I187="x"),-10,0)</f>
        <v>0</v>
      </c>
      <c r="K187" s="14"/>
      <c r="L187" s="15">
        <f t="shared" ref="L187" si="594">IF((K187="x"),-20,0)</f>
        <v>0</v>
      </c>
      <c r="M187" s="14"/>
      <c r="N187" s="15">
        <f t="shared" ref="N187" si="595">IF((M187="x"),-30,0)</f>
        <v>0</v>
      </c>
      <c r="O187" s="16">
        <f t="shared" si="552"/>
        <v>20</v>
      </c>
      <c r="P187" s="16">
        <f t="shared" si="553"/>
        <v>20</v>
      </c>
      <c r="Q187" s="16">
        <f t="shared" si="574"/>
        <v>15</v>
      </c>
      <c r="R187" s="14"/>
      <c r="S187" s="15">
        <f t="shared" ref="S187" si="596">R187*15</f>
        <v>0</v>
      </c>
      <c r="T187" s="14"/>
      <c r="U187" s="15">
        <f t="shared" ref="U187" si="597">T187*-15</f>
        <v>0</v>
      </c>
      <c r="V187" s="16">
        <f t="shared" ref="V187" si="598">IF(AND(R187=2),10,IF(R187=3,30,IF(R187=4,50,IF(R187=5,70,0))))</f>
        <v>0</v>
      </c>
      <c r="W187" s="17">
        <f t="shared" ref="W187" si="599">IF(G187="x",H187+J187+L187+N187+O187+P187+Q187+S187+U187+V187,0)</f>
        <v>0</v>
      </c>
    </row>
    <row r="188" spans="1:23" ht="10.5" hidden="1" customHeight="1" x14ac:dyDescent="0.2">
      <c r="A188" s="11"/>
      <c r="B188" s="149">
        <f>COUNTA(Spieltag!K175:AA175)</f>
        <v>0</v>
      </c>
      <c r="C188" s="166">
        <f>Spieltag!A175</f>
        <v>48</v>
      </c>
      <c r="D188" s="21" t="str">
        <f>Spieltag!B175</f>
        <v>Reno Münz</v>
      </c>
      <c r="E188" s="12" t="str">
        <f>Spieltag!C175</f>
        <v>Abwehr</v>
      </c>
      <c r="F188" s="13" t="s">
        <v>56</v>
      </c>
      <c r="G188" s="14"/>
      <c r="H188" s="15">
        <f t="shared" si="584"/>
        <v>0</v>
      </c>
      <c r="I188" s="14"/>
      <c r="J188" s="15">
        <f t="shared" si="585"/>
        <v>0</v>
      </c>
      <c r="K188" s="14"/>
      <c r="L188" s="15">
        <f t="shared" si="586"/>
        <v>0</v>
      </c>
      <c r="M188" s="14"/>
      <c r="N188" s="15">
        <f t="shared" si="587"/>
        <v>0</v>
      </c>
      <c r="O188" s="16">
        <f t="shared" si="552"/>
        <v>20</v>
      </c>
      <c r="P188" s="16">
        <f t="shared" si="553"/>
        <v>20</v>
      </c>
      <c r="Q188" s="16">
        <f t="shared" si="574"/>
        <v>15</v>
      </c>
      <c r="R188" s="14"/>
      <c r="S188" s="15">
        <f t="shared" si="588"/>
        <v>0</v>
      </c>
      <c r="T188" s="14"/>
      <c r="U188" s="15">
        <f t="shared" si="589"/>
        <v>0</v>
      </c>
      <c r="V188" s="16">
        <f t="shared" si="590"/>
        <v>0</v>
      </c>
      <c r="W188" s="17">
        <f t="shared" si="591"/>
        <v>0</v>
      </c>
    </row>
    <row r="189" spans="1:23" ht="10.5" customHeight="1" x14ac:dyDescent="0.2">
      <c r="A189" s="11"/>
      <c r="B189" s="149">
        <f>COUNTA(Spieltag!K176:AA176)</f>
        <v>5</v>
      </c>
      <c r="C189" s="166">
        <f>Spieltag!A176</f>
        <v>7</v>
      </c>
      <c r="D189" s="21" t="str">
        <f>Spieltag!B176</f>
        <v>Jonas Hofmann</v>
      </c>
      <c r="E189" s="12" t="str">
        <f>Spieltag!C176</f>
        <v>Mittelfeld</v>
      </c>
      <c r="F189" s="13" t="s">
        <v>56</v>
      </c>
      <c r="G189" s="14" t="s">
        <v>675</v>
      </c>
      <c r="H189" s="15">
        <f t="shared" si="584"/>
        <v>10</v>
      </c>
      <c r="I189" s="14"/>
      <c r="J189" s="15">
        <f t="shared" si="585"/>
        <v>0</v>
      </c>
      <c r="K189" s="14"/>
      <c r="L189" s="15">
        <f t="shared" si="586"/>
        <v>0</v>
      </c>
      <c r="M189" s="14"/>
      <c r="N189" s="15">
        <f t="shared" si="587"/>
        <v>0</v>
      </c>
      <c r="O189" s="16">
        <f t="shared" si="552"/>
        <v>20</v>
      </c>
      <c r="P189" s="16">
        <f t="shared" si="553"/>
        <v>20</v>
      </c>
      <c r="Q189" s="16">
        <f t="shared" ref="Q189:Q197" si="600">IF(($Q$6&lt;&gt;0),$Q$6*-10,10)</f>
        <v>10</v>
      </c>
      <c r="R189" s="14"/>
      <c r="S189" s="15">
        <f t="shared" ref="S189:S198" si="601">R189*10</f>
        <v>0</v>
      </c>
      <c r="T189" s="14"/>
      <c r="U189" s="15">
        <f t="shared" si="589"/>
        <v>0</v>
      </c>
      <c r="V189" s="16">
        <f t="shared" si="590"/>
        <v>0</v>
      </c>
      <c r="W189" s="17">
        <f t="shared" si="591"/>
        <v>60</v>
      </c>
    </row>
    <row r="190" spans="1:23" ht="10.5" hidden="1" customHeight="1" x14ac:dyDescent="0.2">
      <c r="A190" s="11"/>
      <c r="B190" s="149">
        <f>COUNTA(Spieltag!K177:AA177)</f>
        <v>0</v>
      </c>
      <c r="C190" s="166">
        <f>Spieltag!A177</f>
        <v>8</v>
      </c>
      <c r="D190" s="21" t="str">
        <f>Spieltag!B177</f>
        <v>Robert Andrich</v>
      </c>
      <c r="E190" s="12" t="str">
        <f>Spieltag!C177</f>
        <v>Mittelfeld</v>
      </c>
      <c r="F190" s="13" t="s">
        <v>56</v>
      </c>
      <c r="G190" s="14"/>
      <c r="H190" s="15">
        <f t="shared" ref="H190:H198" si="602">IF(G190="x",10,0)</f>
        <v>0</v>
      </c>
      <c r="I190" s="14"/>
      <c r="J190" s="15">
        <f t="shared" ref="J190:J198" si="603">IF((I190="x"),-10,0)</f>
        <v>0</v>
      </c>
      <c r="K190" s="14"/>
      <c r="L190" s="15">
        <f t="shared" ref="L190:L198" si="604">IF((K190="x"),-20,0)</f>
        <v>0</v>
      </c>
      <c r="M190" s="14"/>
      <c r="N190" s="15">
        <f t="shared" ref="N190:N198" si="605">IF((M190="x"),-30,0)</f>
        <v>0</v>
      </c>
      <c r="O190" s="16">
        <f t="shared" si="552"/>
        <v>20</v>
      </c>
      <c r="P190" s="16">
        <f t="shared" si="553"/>
        <v>20</v>
      </c>
      <c r="Q190" s="16">
        <f t="shared" si="600"/>
        <v>10</v>
      </c>
      <c r="R190" s="14"/>
      <c r="S190" s="15">
        <f t="shared" si="601"/>
        <v>0</v>
      </c>
      <c r="T190" s="14"/>
      <c r="U190" s="15">
        <f t="shared" ref="U190:U198" si="606">T190*-15</f>
        <v>0</v>
      </c>
      <c r="V190" s="16">
        <f t="shared" ref="V190:V198" si="607">IF(AND(R190=2),10,IF(R190=3,30,IF(R190=4,50,IF(R190=5,70,0))))</f>
        <v>0</v>
      </c>
      <c r="W190" s="17">
        <f t="shared" ref="W190:W198" si="608">IF(G190="x",H190+J190+L190+N190+O190+P190+Q190+S190+U190+V190,0)</f>
        <v>0</v>
      </c>
    </row>
    <row r="191" spans="1:23" ht="10.5" customHeight="1" x14ac:dyDescent="0.2">
      <c r="A191" s="11"/>
      <c r="B191" s="149">
        <f>COUNTA(Spieltag!K178:AA178)</f>
        <v>8</v>
      </c>
      <c r="C191" s="166">
        <f>Spieltag!A178</f>
        <v>10</v>
      </c>
      <c r="D191" s="21" t="str">
        <f>Spieltag!B178</f>
        <v>Florian Wirtz</v>
      </c>
      <c r="E191" s="12" t="str">
        <f>Spieltag!C178</f>
        <v>Mittelfeld</v>
      </c>
      <c r="F191" s="13" t="s">
        <v>56</v>
      </c>
      <c r="G191" s="14" t="s">
        <v>675</v>
      </c>
      <c r="H191" s="15">
        <f>IF(G191="x",10,0)</f>
        <v>10</v>
      </c>
      <c r="I191" s="14"/>
      <c r="J191" s="15">
        <f>IF((I191="x"),-10,0)</f>
        <v>0</v>
      </c>
      <c r="K191" s="14"/>
      <c r="L191" s="15">
        <f>IF((K191="x"),-20,0)</f>
        <v>0</v>
      </c>
      <c r="M191" s="14"/>
      <c r="N191" s="15">
        <f>IF((M191="x"),-30,0)</f>
        <v>0</v>
      </c>
      <c r="O191" s="16">
        <f t="shared" si="552"/>
        <v>20</v>
      </c>
      <c r="P191" s="16">
        <f t="shared" si="553"/>
        <v>20</v>
      </c>
      <c r="Q191" s="16">
        <f t="shared" si="600"/>
        <v>10</v>
      </c>
      <c r="R191" s="14"/>
      <c r="S191" s="15">
        <f>R191*10</f>
        <v>0</v>
      </c>
      <c r="T191" s="14"/>
      <c r="U191" s="15">
        <f>T191*-15</f>
        <v>0</v>
      </c>
      <c r="V191" s="16">
        <f>IF(AND(R191=2),10,IF(R191=3,30,IF(R191=4,50,IF(R191=5,70,0))))</f>
        <v>0</v>
      </c>
      <c r="W191" s="17">
        <f>IF(G191="x",H191+J191+L191+N191+O191+P191+Q191+S191+U191+V191,0)</f>
        <v>60</v>
      </c>
    </row>
    <row r="192" spans="1:23" ht="10.5" hidden="1" customHeight="1" x14ac:dyDescent="0.2">
      <c r="A192" s="11"/>
      <c r="B192" s="149">
        <f>COUNTA(Spieltag!K179:AA179)</f>
        <v>0</v>
      </c>
      <c r="C192" s="166">
        <f>Spieltag!A179</f>
        <v>11</v>
      </c>
      <c r="D192" s="21" t="str">
        <f>Spieltag!B179</f>
        <v>Nadiem Amiri</v>
      </c>
      <c r="E192" s="12" t="str">
        <f>Spieltag!C179</f>
        <v>Mittelfeld</v>
      </c>
      <c r="F192" s="13" t="s">
        <v>56</v>
      </c>
      <c r="G192" s="14"/>
      <c r="H192" s="15">
        <f t="shared" si="602"/>
        <v>0</v>
      </c>
      <c r="I192" s="14"/>
      <c r="J192" s="15">
        <f t="shared" si="603"/>
        <v>0</v>
      </c>
      <c r="K192" s="14"/>
      <c r="L192" s="15">
        <f t="shared" si="604"/>
        <v>0</v>
      </c>
      <c r="M192" s="14"/>
      <c r="N192" s="15">
        <f t="shared" si="605"/>
        <v>0</v>
      </c>
      <c r="O192" s="16">
        <f t="shared" si="552"/>
        <v>20</v>
      </c>
      <c r="P192" s="16">
        <f t="shared" si="553"/>
        <v>20</v>
      </c>
      <c r="Q192" s="16">
        <f t="shared" si="600"/>
        <v>10</v>
      </c>
      <c r="R192" s="14"/>
      <c r="S192" s="15">
        <f t="shared" si="601"/>
        <v>0</v>
      </c>
      <c r="T192" s="14"/>
      <c r="U192" s="15">
        <f t="shared" si="606"/>
        <v>0</v>
      </c>
      <c r="V192" s="16">
        <f t="shared" si="607"/>
        <v>0</v>
      </c>
      <c r="W192" s="17">
        <f t="shared" si="608"/>
        <v>0</v>
      </c>
    </row>
    <row r="193" spans="1:23" ht="10.5" hidden="1" customHeight="1" x14ac:dyDescent="0.2">
      <c r="A193" s="11"/>
      <c r="B193" s="149">
        <f>COUNTA(Spieltag!K180:AA180)</f>
        <v>0</v>
      </c>
      <c r="C193" s="166">
        <f>Spieltag!A180</f>
        <v>18</v>
      </c>
      <c r="D193" s="21" t="str">
        <f>Spieltag!B180</f>
        <v>Noah Mbamba (A)</v>
      </c>
      <c r="E193" s="12" t="str">
        <f>Spieltag!C180</f>
        <v>Mittelfeld</v>
      </c>
      <c r="F193" s="13" t="s">
        <v>56</v>
      </c>
      <c r="G193" s="14"/>
      <c r="H193" s="15">
        <f t="shared" si="602"/>
        <v>0</v>
      </c>
      <c r="I193" s="14"/>
      <c r="J193" s="15">
        <f t="shared" si="603"/>
        <v>0</v>
      </c>
      <c r="K193" s="14"/>
      <c r="L193" s="15">
        <f t="shared" si="604"/>
        <v>0</v>
      </c>
      <c r="M193" s="14"/>
      <c r="N193" s="15">
        <f t="shared" si="605"/>
        <v>0</v>
      </c>
      <c r="O193" s="16">
        <f t="shared" si="552"/>
        <v>20</v>
      </c>
      <c r="P193" s="16">
        <f t="shared" si="553"/>
        <v>20</v>
      </c>
      <c r="Q193" s="16">
        <f t="shared" si="600"/>
        <v>10</v>
      </c>
      <c r="R193" s="14"/>
      <c r="S193" s="15">
        <f t="shared" si="601"/>
        <v>0</v>
      </c>
      <c r="T193" s="14"/>
      <c r="U193" s="15">
        <f t="shared" si="606"/>
        <v>0</v>
      </c>
      <c r="V193" s="16">
        <f t="shared" si="607"/>
        <v>0</v>
      </c>
      <c r="W193" s="17">
        <f t="shared" si="608"/>
        <v>0</v>
      </c>
    </row>
    <row r="194" spans="1:23" ht="10.5" hidden="1" customHeight="1" x14ac:dyDescent="0.2">
      <c r="A194" s="11"/>
      <c r="B194" s="149">
        <f>COUNTA(Spieltag!K181:AA181)</f>
        <v>0</v>
      </c>
      <c r="C194" s="166">
        <f>Spieltag!A181</f>
        <v>25</v>
      </c>
      <c r="D194" s="21" t="str">
        <f>Spieltag!B181</f>
        <v>Exequiel Palacios (A)</v>
      </c>
      <c r="E194" s="12" t="str">
        <f>Spieltag!C181</f>
        <v>Mittelfeld</v>
      </c>
      <c r="F194" s="13" t="s">
        <v>56</v>
      </c>
      <c r="G194" s="14"/>
      <c r="H194" s="15">
        <f t="shared" si="602"/>
        <v>0</v>
      </c>
      <c r="I194" s="14"/>
      <c r="J194" s="15">
        <f t="shared" si="603"/>
        <v>0</v>
      </c>
      <c r="K194" s="14"/>
      <c r="L194" s="15">
        <f t="shared" si="604"/>
        <v>0</v>
      </c>
      <c r="M194" s="14"/>
      <c r="N194" s="15">
        <f t="shared" si="605"/>
        <v>0</v>
      </c>
      <c r="O194" s="16">
        <f t="shared" si="552"/>
        <v>20</v>
      </c>
      <c r="P194" s="16">
        <f t="shared" si="553"/>
        <v>20</v>
      </c>
      <c r="Q194" s="16">
        <f t="shared" si="600"/>
        <v>10</v>
      </c>
      <c r="R194" s="14"/>
      <c r="S194" s="15">
        <f t="shared" si="601"/>
        <v>0</v>
      </c>
      <c r="T194" s="14"/>
      <c r="U194" s="15">
        <f t="shared" si="606"/>
        <v>0</v>
      </c>
      <c r="V194" s="16">
        <f t="shared" si="607"/>
        <v>0</v>
      </c>
      <c r="W194" s="17">
        <f t="shared" si="608"/>
        <v>0</v>
      </c>
    </row>
    <row r="195" spans="1:23" ht="10.5" hidden="1" customHeight="1" x14ac:dyDescent="0.2">
      <c r="A195" s="11"/>
      <c r="B195" s="149">
        <f>COUNTA(Spieltag!K182:AA182)</f>
        <v>0</v>
      </c>
      <c r="C195" s="166">
        <f>Spieltag!A182</f>
        <v>32</v>
      </c>
      <c r="D195" s="21" t="str">
        <f>Spieltag!B182</f>
        <v>Gustavo Puerta (A)</v>
      </c>
      <c r="E195" s="12" t="str">
        <f>Spieltag!C182</f>
        <v>Mittelfeld</v>
      </c>
      <c r="F195" s="13" t="s">
        <v>56</v>
      </c>
      <c r="G195" s="14"/>
      <c r="H195" s="15">
        <f t="shared" si="602"/>
        <v>0</v>
      </c>
      <c r="I195" s="14"/>
      <c r="J195" s="15">
        <f t="shared" si="603"/>
        <v>0</v>
      </c>
      <c r="K195" s="14"/>
      <c r="L195" s="15">
        <f t="shared" si="604"/>
        <v>0</v>
      </c>
      <c r="M195" s="14"/>
      <c r="N195" s="15">
        <f t="shared" si="605"/>
        <v>0</v>
      </c>
      <c r="O195" s="16">
        <f t="shared" si="552"/>
        <v>20</v>
      </c>
      <c r="P195" s="16">
        <f t="shared" si="553"/>
        <v>20</v>
      </c>
      <c r="Q195" s="16">
        <f t="shared" si="600"/>
        <v>10</v>
      </c>
      <c r="R195" s="14"/>
      <c r="S195" s="15">
        <f t="shared" si="601"/>
        <v>0</v>
      </c>
      <c r="T195" s="14"/>
      <c r="U195" s="15">
        <f t="shared" si="606"/>
        <v>0</v>
      </c>
      <c r="V195" s="16">
        <f t="shared" si="607"/>
        <v>0</v>
      </c>
      <c r="W195" s="17">
        <f t="shared" si="608"/>
        <v>0</v>
      </c>
    </row>
    <row r="196" spans="1:23" ht="10.5" hidden="1" customHeight="1" x14ac:dyDescent="0.2">
      <c r="A196" s="11"/>
      <c r="B196" s="149">
        <f>COUNTA(Spieltag!K183:AA183)</f>
        <v>0</v>
      </c>
      <c r="C196" s="166">
        <f>Spieltag!A183</f>
        <v>34</v>
      </c>
      <c r="D196" s="21" t="str">
        <f>Spieltag!B183</f>
        <v>Granit Xhaka (A)</v>
      </c>
      <c r="E196" s="12" t="str">
        <f>Spieltag!C183</f>
        <v>Mittelfeld</v>
      </c>
      <c r="F196" s="13" t="s">
        <v>56</v>
      </c>
      <c r="G196" s="14"/>
      <c r="H196" s="15">
        <f t="shared" si="602"/>
        <v>0</v>
      </c>
      <c r="I196" s="14"/>
      <c r="J196" s="15">
        <f t="shared" si="603"/>
        <v>0</v>
      </c>
      <c r="K196" s="14"/>
      <c r="L196" s="15">
        <f t="shared" si="604"/>
        <v>0</v>
      </c>
      <c r="M196" s="14"/>
      <c r="N196" s="15">
        <f t="shared" si="605"/>
        <v>0</v>
      </c>
      <c r="O196" s="16">
        <f t="shared" si="552"/>
        <v>20</v>
      </c>
      <c r="P196" s="16">
        <f t="shared" si="553"/>
        <v>20</v>
      </c>
      <c r="Q196" s="16">
        <f t="shared" si="600"/>
        <v>10</v>
      </c>
      <c r="R196" s="14"/>
      <c r="S196" s="15">
        <f t="shared" si="601"/>
        <v>0</v>
      </c>
      <c r="T196" s="14"/>
      <c r="U196" s="15">
        <f t="shared" si="606"/>
        <v>0</v>
      </c>
      <c r="V196" s="16">
        <f t="shared" si="607"/>
        <v>0</v>
      </c>
      <c r="W196" s="17">
        <f t="shared" si="608"/>
        <v>0</v>
      </c>
    </row>
    <row r="197" spans="1:23" ht="10.5" hidden="1" customHeight="1" x14ac:dyDescent="0.2">
      <c r="A197" s="11"/>
      <c r="B197" s="149">
        <f>COUNTA(Spieltag!K184:AA184)</f>
        <v>0</v>
      </c>
      <c r="C197" s="166">
        <f>Spieltag!A184</f>
        <v>47</v>
      </c>
      <c r="D197" s="21" t="str">
        <f>Spieltag!B184</f>
        <v>Ayman Aourir</v>
      </c>
      <c r="E197" s="12" t="str">
        <f>Spieltag!C184</f>
        <v>Mittelfeld</v>
      </c>
      <c r="F197" s="13" t="s">
        <v>56</v>
      </c>
      <c r="G197" s="14"/>
      <c r="H197" s="15">
        <f t="shared" si="602"/>
        <v>0</v>
      </c>
      <c r="I197" s="14"/>
      <c r="J197" s="15">
        <f t="shared" si="603"/>
        <v>0</v>
      </c>
      <c r="K197" s="14"/>
      <c r="L197" s="15">
        <f t="shared" si="604"/>
        <v>0</v>
      </c>
      <c r="M197" s="14"/>
      <c r="N197" s="15">
        <f t="shared" si="605"/>
        <v>0</v>
      </c>
      <c r="O197" s="16">
        <f t="shared" si="552"/>
        <v>20</v>
      </c>
      <c r="P197" s="16">
        <f t="shared" si="553"/>
        <v>20</v>
      </c>
      <c r="Q197" s="16">
        <f t="shared" si="600"/>
        <v>10</v>
      </c>
      <c r="R197" s="14"/>
      <c r="S197" s="15">
        <f t="shared" si="601"/>
        <v>0</v>
      </c>
      <c r="T197" s="14"/>
      <c r="U197" s="15">
        <f t="shared" si="606"/>
        <v>0</v>
      </c>
      <c r="V197" s="16">
        <f t="shared" si="607"/>
        <v>0</v>
      </c>
      <c r="W197" s="17">
        <f t="shared" si="608"/>
        <v>0</v>
      </c>
    </row>
    <row r="198" spans="1:23" ht="10.5" hidden="1" customHeight="1" x14ac:dyDescent="0.2">
      <c r="A198" s="11"/>
      <c r="B198" s="149">
        <f>COUNTA(Spieltag!K185:AA185)</f>
        <v>0</v>
      </c>
      <c r="C198" s="166">
        <f>Spieltag!A185</f>
        <v>9</v>
      </c>
      <c r="D198" s="21" t="str">
        <f>Spieltag!B185</f>
        <v>Borja Iglesias (A)</v>
      </c>
      <c r="E198" s="12" t="str">
        <f>Spieltag!C185</f>
        <v>Sturm</v>
      </c>
      <c r="F198" s="13" t="s">
        <v>56</v>
      </c>
      <c r="G198" s="14"/>
      <c r="H198" s="15">
        <f t="shared" si="602"/>
        <v>0</v>
      </c>
      <c r="I198" s="14"/>
      <c r="J198" s="15">
        <f t="shared" si="603"/>
        <v>0</v>
      </c>
      <c r="K198" s="14"/>
      <c r="L198" s="15">
        <f t="shared" si="604"/>
        <v>0</v>
      </c>
      <c r="M198" s="14"/>
      <c r="N198" s="15">
        <f t="shared" si="605"/>
        <v>0</v>
      </c>
      <c r="O198" s="16">
        <f t="shared" si="552"/>
        <v>20</v>
      </c>
      <c r="P198" s="16">
        <f t="shared" si="553"/>
        <v>20</v>
      </c>
      <c r="Q198" s="16">
        <f t="shared" ref="Q198:Q204" si="609">IF(($Q$6&lt;&gt;0),$Q$6*-10,5)</f>
        <v>5</v>
      </c>
      <c r="R198" s="14"/>
      <c r="S198" s="15">
        <f t="shared" si="601"/>
        <v>0</v>
      </c>
      <c r="T198" s="14"/>
      <c r="U198" s="15">
        <f t="shared" si="606"/>
        <v>0</v>
      </c>
      <c r="V198" s="16">
        <f t="shared" si="607"/>
        <v>0</v>
      </c>
      <c r="W198" s="17">
        <f t="shared" si="608"/>
        <v>0</v>
      </c>
    </row>
    <row r="199" spans="1:23" ht="10.5" customHeight="1" x14ac:dyDescent="0.2">
      <c r="A199" s="11"/>
      <c r="B199" s="149">
        <f>COUNTA(Spieltag!K186:AA186)</f>
        <v>4</v>
      </c>
      <c r="C199" s="166">
        <f>Spieltag!A186</f>
        <v>14</v>
      </c>
      <c r="D199" s="21" t="str">
        <f>Spieltag!B186</f>
        <v>Patrick Schick (A)</v>
      </c>
      <c r="E199" s="12" t="str">
        <f>Spieltag!C186</f>
        <v>Sturm</v>
      </c>
      <c r="F199" s="13" t="s">
        <v>56</v>
      </c>
      <c r="G199" s="14" t="s">
        <v>59</v>
      </c>
      <c r="H199" s="15">
        <f t="shared" ref="H199" si="610">IF(G199="x",10,0)</f>
        <v>0</v>
      </c>
      <c r="I199" s="14"/>
      <c r="J199" s="15">
        <f t="shared" ref="J199" si="611">IF((I199="x"),-10,0)</f>
        <v>0</v>
      </c>
      <c r="K199" s="14"/>
      <c r="L199" s="15">
        <f t="shared" ref="L199" si="612">IF((K199="x"),-20,0)</f>
        <v>0</v>
      </c>
      <c r="M199" s="14"/>
      <c r="N199" s="15">
        <f t="shared" ref="N199" si="613">IF((M199="x"),-30,0)</f>
        <v>0</v>
      </c>
      <c r="O199" s="16">
        <f t="shared" si="552"/>
        <v>20</v>
      </c>
      <c r="P199" s="16">
        <f t="shared" si="553"/>
        <v>20</v>
      </c>
      <c r="Q199" s="16">
        <f t="shared" si="609"/>
        <v>5</v>
      </c>
      <c r="R199" s="14"/>
      <c r="S199" s="15">
        <f t="shared" ref="S199" si="614">R199*10</f>
        <v>0</v>
      </c>
      <c r="T199" s="14"/>
      <c r="U199" s="15">
        <f t="shared" ref="U199" si="615">T199*-15</f>
        <v>0</v>
      </c>
      <c r="V199" s="16">
        <f t="shared" ref="V199" si="616">IF(AND(R199=2),10,IF(R199=3,30,IF(R199=4,50,IF(R199=5,70,0))))</f>
        <v>0</v>
      </c>
      <c r="W199" s="17">
        <f t="shared" ref="W199" si="617">IF(G199="x",H199+J199+L199+N199+O199+P199+Q199+S199+U199+V199,0)</f>
        <v>0</v>
      </c>
    </row>
    <row r="200" spans="1:23" ht="10.5" hidden="1" customHeight="1" x14ac:dyDescent="0.2">
      <c r="A200" s="11"/>
      <c r="B200" s="149">
        <f>COUNTA(Spieltag!K187:AA187)</f>
        <v>0</v>
      </c>
      <c r="C200" s="166">
        <f>Spieltag!A187</f>
        <v>19</v>
      </c>
      <c r="D200" s="21" t="str">
        <f>Spieltag!B187</f>
        <v>Nathan Tella (A)</v>
      </c>
      <c r="E200" s="12" t="str">
        <f>Spieltag!C187</f>
        <v>Sturm</v>
      </c>
      <c r="F200" s="13" t="s">
        <v>56</v>
      </c>
      <c r="G200" s="14"/>
      <c r="H200" s="15">
        <f t="shared" ref="H200:H204" si="618">IF(G200="x",10,0)</f>
        <v>0</v>
      </c>
      <c r="I200" s="14"/>
      <c r="J200" s="15">
        <f t="shared" ref="J200:J204" si="619">IF((I200="x"),-10,0)</f>
        <v>0</v>
      </c>
      <c r="K200" s="14"/>
      <c r="L200" s="15">
        <f t="shared" ref="L200:L204" si="620">IF((K200="x"),-20,0)</f>
        <v>0</v>
      </c>
      <c r="M200" s="14"/>
      <c r="N200" s="15">
        <f t="shared" ref="N200:N204" si="621">IF((M200="x"),-30,0)</f>
        <v>0</v>
      </c>
      <c r="O200" s="16">
        <f t="shared" si="552"/>
        <v>20</v>
      </c>
      <c r="P200" s="16">
        <f t="shared" si="553"/>
        <v>20</v>
      </c>
      <c r="Q200" s="16">
        <f t="shared" si="609"/>
        <v>5</v>
      </c>
      <c r="R200" s="14"/>
      <c r="S200" s="15">
        <f t="shared" ref="S200:S204" si="622">R200*10</f>
        <v>0</v>
      </c>
      <c r="T200" s="14"/>
      <c r="U200" s="15">
        <f t="shared" ref="U200:U204" si="623">T200*-15</f>
        <v>0</v>
      </c>
      <c r="V200" s="16">
        <f t="shared" ref="V200:V204" si="624">IF(AND(R200=2),10,IF(R200=3,30,IF(R200=4,50,IF(R200=5,70,0))))</f>
        <v>0</v>
      </c>
      <c r="W200" s="17">
        <f t="shared" ref="W200:W204" si="625">IF(G200="x",H200+J200+L200+N200+O200+P200+Q200+S200+U200+V200,0)</f>
        <v>0</v>
      </c>
    </row>
    <row r="201" spans="1:23" ht="10.5" hidden="1" customHeight="1" x14ac:dyDescent="0.2">
      <c r="A201" s="11"/>
      <c r="B201" s="149">
        <f>COUNTA(Spieltag!K188:AA188)</f>
        <v>0</v>
      </c>
      <c r="C201" s="166">
        <f>Spieltag!A188</f>
        <v>21</v>
      </c>
      <c r="D201" s="21" t="str">
        <f>Spieltag!B188</f>
        <v>Amine Adli (A)</v>
      </c>
      <c r="E201" s="12" t="str">
        <f>Spieltag!C188</f>
        <v>Sturm</v>
      </c>
      <c r="F201" s="13" t="s">
        <v>56</v>
      </c>
      <c r="G201" s="14"/>
      <c r="H201" s="15">
        <f t="shared" si="618"/>
        <v>0</v>
      </c>
      <c r="I201" s="14"/>
      <c r="J201" s="15">
        <f t="shared" si="619"/>
        <v>0</v>
      </c>
      <c r="K201" s="14"/>
      <c r="L201" s="15">
        <f t="shared" si="620"/>
        <v>0</v>
      </c>
      <c r="M201" s="14"/>
      <c r="N201" s="15">
        <f t="shared" si="621"/>
        <v>0</v>
      </c>
      <c r="O201" s="16">
        <f t="shared" si="552"/>
        <v>20</v>
      </c>
      <c r="P201" s="16">
        <f t="shared" si="553"/>
        <v>20</v>
      </c>
      <c r="Q201" s="16">
        <f t="shared" si="609"/>
        <v>5</v>
      </c>
      <c r="R201" s="14"/>
      <c r="S201" s="15">
        <f t="shared" si="622"/>
        <v>0</v>
      </c>
      <c r="T201" s="14"/>
      <c r="U201" s="15">
        <f t="shared" si="623"/>
        <v>0</v>
      </c>
      <c r="V201" s="16">
        <f t="shared" si="624"/>
        <v>0</v>
      </c>
      <c r="W201" s="17">
        <f t="shared" si="625"/>
        <v>0</v>
      </c>
    </row>
    <row r="202" spans="1:23" ht="10.5" hidden="1" customHeight="1" x14ac:dyDescent="0.2">
      <c r="A202" s="11"/>
      <c r="B202" s="149">
        <f>COUNTA(Spieltag!K189:AA189)</f>
        <v>0</v>
      </c>
      <c r="C202" s="166">
        <f>Spieltag!A189</f>
        <v>22</v>
      </c>
      <c r="D202" s="21" t="str">
        <f>Spieltag!B189</f>
        <v>Victor Boniface (A)</v>
      </c>
      <c r="E202" s="12" t="str">
        <f>Spieltag!C189</f>
        <v>Sturm</v>
      </c>
      <c r="F202" s="13" t="s">
        <v>56</v>
      </c>
      <c r="G202" s="14"/>
      <c r="H202" s="15">
        <f t="shared" si="618"/>
        <v>0</v>
      </c>
      <c r="I202" s="14"/>
      <c r="J202" s="15">
        <f t="shared" si="619"/>
        <v>0</v>
      </c>
      <c r="K202" s="14"/>
      <c r="L202" s="15">
        <f t="shared" si="620"/>
        <v>0</v>
      </c>
      <c r="M202" s="14"/>
      <c r="N202" s="15">
        <f t="shared" si="621"/>
        <v>0</v>
      </c>
      <c r="O202" s="16">
        <f t="shared" si="552"/>
        <v>20</v>
      </c>
      <c r="P202" s="16">
        <f t="shared" si="553"/>
        <v>20</v>
      </c>
      <c r="Q202" s="16">
        <f t="shared" si="609"/>
        <v>5</v>
      </c>
      <c r="R202" s="14"/>
      <c r="S202" s="15">
        <f t="shared" si="622"/>
        <v>0</v>
      </c>
      <c r="T202" s="14"/>
      <c r="U202" s="15">
        <f t="shared" si="623"/>
        <v>0</v>
      </c>
      <c r="V202" s="16">
        <f t="shared" si="624"/>
        <v>0</v>
      </c>
      <c r="W202" s="17">
        <f t="shared" si="625"/>
        <v>0</v>
      </c>
    </row>
    <row r="203" spans="1:23" ht="10.5" hidden="1" customHeight="1" x14ac:dyDescent="0.2">
      <c r="A203" s="11"/>
      <c r="B203" s="149">
        <f>COUNTA(Spieltag!K190:AA190)</f>
        <v>0</v>
      </c>
      <c r="C203" s="166">
        <f>Spieltag!A190</f>
        <v>23</v>
      </c>
      <c r="D203" s="21" t="str">
        <f>Spieltag!B190</f>
        <v>Adam Hložek (A)</v>
      </c>
      <c r="E203" s="12" t="str">
        <f>Spieltag!C190</f>
        <v>Sturm</v>
      </c>
      <c r="F203" s="13" t="s">
        <v>56</v>
      </c>
      <c r="G203" s="14"/>
      <c r="H203" s="15">
        <f t="shared" ref="H203" si="626">IF(G203="x",10,0)</f>
        <v>0</v>
      </c>
      <c r="I203" s="14"/>
      <c r="J203" s="15">
        <f t="shared" ref="J203" si="627">IF((I203="x"),-10,0)</f>
        <v>0</v>
      </c>
      <c r="K203" s="14"/>
      <c r="L203" s="15">
        <f t="shared" ref="L203" si="628">IF((K203="x"),-20,0)</f>
        <v>0</v>
      </c>
      <c r="M203" s="14"/>
      <c r="N203" s="15">
        <f t="shared" ref="N203" si="629">IF((M203="x"),-30,0)</f>
        <v>0</v>
      </c>
      <c r="O203" s="16">
        <f t="shared" si="552"/>
        <v>20</v>
      </c>
      <c r="P203" s="16">
        <f t="shared" si="553"/>
        <v>20</v>
      </c>
      <c r="Q203" s="16">
        <f t="shared" si="609"/>
        <v>5</v>
      </c>
      <c r="R203" s="14"/>
      <c r="S203" s="15">
        <f t="shared" ref="S203" si="630">R203*10</f>
        <v>0</v>
      </c>
      <c r="T203" s="14"/>
      <c r="U203" s="15">
        <f t="shared" ref="U203" si="631">T203*-15</f>
        <v>0</v>
      </c>
      <c r="V203" s="16">
        <f t="shared" ref="V203" si="632">IF(AND(R203=2),10,IF(R203=3,30,IF(R203=4,50,IF(R203=5,70,0))))</f>
        <v>0</v>
      </c>
      <c r="W203" s="17">
        <f t="shared" ref="W203" si="633">IF(G203="x",H203+J203+L203+N203+O203+P203+Q203+S203+U203+V203,0)</f>
        <v>0</v>
      </c>
    </row>
    <row r="204" spans="1:23" ht="10.5" hidden="1" customHeight="1" x14ac:dyDescent="0.2">
      <c r="A204" s="11"/>
      <c r="B204" s="149">
        <f>COUNTA(Spieltag!K191:AA191)</f>
        <v>0</v>
      </c>
      <c r="C204" s="166">
        <f>Spieltag!A191</f>
        <v>40</v>
      </c>
      <c r="D204" s="21" t="str">
        <f>Spieltag!B191</f>
        <v>Francis Onyeka</v>
      </c>
      <c r="E204" s="12" t="str">
        <f>Spieltag!C191</f>
        <v>Sturm</v>
      </c>
      <c r="F204" s="13" t="s">
        <v>56</v>
      </c>
      <c r="G204" s="14"/>
      <c r="H204" s="15">
        <f t="shared" si="618"/>
        <v>0</v>
      </c>
      <c r="I204" s="14"/>
      <c r="J204" s="15">
        <f t="shared" si="619"/>
        <v>0</v>
      </c>
      <c r="K204" s="14"/>
      <c r="L204" s="15">
        <f t="shared" si="620"/>
        <v>0</v>
      </c>
      <c r="M204" s="14"/>
      <c r="N204" s="15">
        <f t="shared" si="621"/>
        <v>0</v>
      </c>
      <c r="O204" s="16">
        <f t="shared" si="552"/>
        <v>20</v>
      </c>
      <c r="P204" s="16">
        <f t="shared" si="553"/>
        <v>20</v>
      </c>
      <c r="Q204" s="16">
        <f t="shared" si="609"/>
        <v>5</v>
      </c>
      <c r="R204" s="14"/>
      <c r="S204" s="15">
        <f t="shared" si="622"/>
        <v>0</v>
      </c>
      <c r="T204" s="14"/>
      <c r="U204" s="15">
        <f t="shared" si="623"/>
        <v>0</v>
      </c>
      <c r="V204" s="16">
        <f t="shared" si="624"/>
        <v>0</v>
      </c>
      <c r="W204" s="17">
        <f t="shared" si="625"/>
        <v>0</v>
      </c>
    </row>
    <row r="205" spans="1:23" s="144" customFormat="1" ht="17.25" thickBot="1" x14ac:dyDescent="0.25">
      <c r="A205" s="142"/>
      <c r="B205" s="143">
        <f>SUM(B206:B243)</f>
        <v>16</v>
      </c>
      <c r="C205" s="158"/>
      <c r="D205" s="234" t="s">
        <v>106</v>
      </c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4"/>
      <c r="U205" s="234"/>
      <c r="V205" s="234"/>
      <c r="W205" s="235"/>
    </row>
    <row r="206" spans="1:23" ht="10.5" customHeight="1" x14ac:dyDescent="0.2">
      <c r="A206" s="11"/>
      <c r="B206" s="150">
        <f>COUNTA(Spieltag!K193:AA193)</f>
        <v>4</v>
      </c>
      <c r="C206" s="166">
        <f>Spieltag!A193</f>
        <v>1</v>
      </c>
      <c r="D206" s="21" t="str">
        <f>Spieltag!B193</f>
        <v>Kevin Trapp</v>
      </c>
      <c r="E206" s="151" t="str">
        <f>Spieltag!C193</f>
        <v>Torwart</v>
      </c>
      <c r="F206" s="152" t="s">
        <v>103</v>
      </c>
      <c r="G206" s="153" t="s">
        <v>675</v>
      </c>
      <c r="H206" s="154">
        <f>IF(G206="x",10,0)</f>
        <v>10</v>
      </c>
      <c r="I206" s="153"/>
      <c r="J206" s="154">
        <f>IF((I206="x"),-10,0)</f>
        <v>0</v>
      </c>
      <c r="K206" s="153"/>
      <c r="L206" s="154">
        <f>IF((K206="x"),-20,0)</f>
        <v>0</v>
      </c>
      <c r="M206" s="153"/>
      <c r="N206" s="154">
        <f>IF((M206="x"),-30,0)</f>
        <v>0</v>
      </c>
      <c r="O206" s="155">
        <f>IF(AND($V$9&gt;$W$9),20,IF($V$9=$W$9,10,0))</f>
        <v>0</v>
      </c>
      <c r="P206" s="155">
        <f>IF(($V$9&lt;&gt;0),$V$9*10,-5)</f>
        <v>-5</v>
      </c>
      <c r="Q206" s="155">
        <f>IF(($W$9&lt;&gt;0),$W$9*-10,20)</f>
        <v>-20</v>
      </c>
      <c r="R206" s="153"/>
      <c r="S206" s="154">
        <f>R206*20</f>
        <v>0</v>
      </c>
      <c r="T206" s="153"/>
      <c r="U206" s="154">
        <f>T206*-15</f>
        <v>0</v>
      </c>
      <c r="V206" s="155">
        <f>IF(AND(R206=2),10,IF(R206=3,30,IF(R206=4,50,IF(R206=5,70,0))))</f>
        <v>0</v>
      </c>
      <c r="W206" s="156">
        <f>IF(G206="x",H206+J206+L206+N206+O206+P206+Q206+S206+U206+V206,0)</f>
        <v>-15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31</v>
      </c>
      <c r="D207" s="21" t="str">
        <f>Spieltag!B194</f>
        <v>Jens Grahl</v>
      </c>
      <c r="E207" s="151" t="str">
        <f>Spieltag!C194</f>
        <v>Torwart</v>
      </c>
      <c r="F207" s="152" t="s">
        <v>103</v>
      </c>
      <c r="G207" s="153"/>
      <c r="H207" s="154">
        <f t="shared" ref="H207:H211" si="634">IF(G207="x",10,0)</f>
        <v>0</v>
      </c>
      <c r="I207" s="153"/>
      <c r="J207" s="154">
        <f t="shared" ref="J207:J211" si="635">IF((I207="x"),-10,0)</f>
        <v>0</v>
      </c>
      <c r="K207" s="153"/>
      <c r="L207" s="154">
        <f t="shared" ref="L207:L211" si="636">IF((K207="x"),-20,0)</f>
        <v>0</v>
      </c>
      <c r="M207" s="153"/>
      <c r="N207" s="154">
        <f t="shared" ref="N207:N211" si="637">IF((M207="x"),-30,0)</f>
        <v>0</v>
      </c>
      <c r="O207" s="155">
        <f t="shared" ref="O207:O211" si="638">IF(AND($V$9&gt;$W$9),20,IF($V$9=$W$9,10,0))</f>
        <v>0</v>
      </c>
      <c r="P207" s="155">
        <f t="shared" ref="P207:P211" si="639">IF(($V$9&lt;&gt;0),$V$9*10,-5)</f>
        <v>-5</v>
      </c>
      <c r="Q207" s="155">
        <f t="shared" ref="Q207:Q211" si="640">IF(($W$9&lt;&gt;0),$W$9*-10,20)</f>
        <v>-20</v>
      </c>
      <c r="R207" s="153"/>
      <c r="S207" s="154">
        <f t="shared" ref="S207:S211" si="641">R207*20</f>
        <v>0</v>
      </c>
      <c r="T207" s="153"/>
      <c r="U207" s="154">
        <f t="shared" ref="U207:U211" si="642">T207*-15</f>
        <v>0</v>
      </c>
      <c r="V207" s="155">
        <f t="shared" ref="V207:V211" si="643">IF(AND(R207=2),10,IF(R207=3,30,IF(R207=4,50,IF(R207=5,70,0))))</f>
        <v>0</v>
      </c>
      <c r="W207" s="156">
        <f t="shared" ref="W207:W211" si="644">IF(G207="x",H207+J207+L207+N207+O207+P207+Q207+S207+U207+V207,0)</f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38</v>
      </c>
      <c r="D208" s="21" t="str">
        <f>Spieltag!B195</f>
        <v>Nils Ramming</v>
      </c>
      <c r="E208" s="151" t="str">
        <f>Spieltag!C195</f>
        <v>Torwart</v>
      </c>
      <c r="F208" s="152" t="s">
        <v>103</v>
      </c>
      <c r="G208" s="153"/>
      <c r="H208" s="154">
        <f t="shared" ref="H208" si="645">IF(G208="x",10,0)</f>
        <v>0</v>
      </c>
      <c r="I208" s="153"/>
      <c r="J208" s="154">
        <f t="shared" ref="J208" si="646">IF((I208="x"),-10,0)</f>
        <v>0</v>
      </c>
      <c r="K208" s="153"/>
      <c r="L208" s="154">
        <f t="shared" ref="L208" si="647">IF((K208="x"),-20,0)</f>
        <v>0</v>
      </c>
      <c r="M208" s="153"/>
      <c r="N208" s="154">
        <f t="shared" ref="N208" si="648">IF((M208="x"),-30,0)</f>
        <v>0</v>
      </c>
      <c r="O208" s="155">
        <f t="shared" si="638"/>
        <v>0</v>
      </c>
      <c r="P208" s="155">
        <f t="shared" si="639"/>
        <v>-5</v>
      </c>
      <c r="Q208" s="155">
        <f t="shared" si="640"/>
        <v>-20</v>
      </c>
      <c r="R208" s="153"/>
      <c r="S208" s="154">
        <f t="shared" ref="S208" si="649">R208*20</f>
        <v>0</v>
      </c>
      <c r="T208" s="153"/>
      <c r="U208" s="154">
        <f t="shared" ref="U208" si="650">T208*-15</f>
        <v>0</v>
      </c>
      <c r="V208" s="155">
        <f t="shared" ref="V208" si="651">IF(AND(R208=2),10,IF(R208=3,30,IF(R208=4,50,IF(R208=5,70,0))))</f>
        <v>0</v>
      </c>
      <c r="W208" s="156">
        <f t="shared" ref="W208" si="652">IF(G208="x",H208+J208+L208+N208+O208+P208+Q208+S208+U208+V208,0)</f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40</v>
      </c>
      <c r="D209" s="21" t="str">
        <f>Spieltag!B196</f>
        <v>Kauã Santos (A)</v>
      </c>
      <c r="E209" s="151" t="str">
        <f>Spieltag!C196</f>
        <v>Torwart</v>
      </c>
      <c r="F209" s="152" t="s">
        <v>103</v>
      </c>
      <c r="G209" s="153"/>
      <c r="H209" s="154">
        <f t="shared" si="634"/>
        <v>0</v>
      </c>
      <c r="I209" s="153"/>
      <c r="J209" s="154">
        <f t="shared" si="635"/>
        <v>0</v>
      </c>
      <c r="K209" s="153"/>
      <c r="L209" s="154">
        <f t="shared" si="636"/>
        <v>0</v>
      </c>
      <c r="M209" s="153"/>
      <c r="N209" s="154">
        <f t="shared" si="637"/>
        <v>0</v>
      </c>
      <c r="O209" s="155">
        <f t="shared" si="638"/>
        <v>0</v>
      </c>
      <c r="P209" s="155">
        <f t="shared" si="639"/>
        <v>-5</v>
      </c>
      <c r="Q209" s="155">
        <f t="shared" si="640"/>
        <v>-20</v>
      </c>
      <c r="R209" s="153"/>
      <c r="S209" s="154">
        <f t="shared" si="641"/>
        <v>0</v>
      </c>
      <c r="T209" s="153"/>
      <c r="U209" s="154">
        <f t="shared" si="642"/>
        <v>0</v>
      </c>
      <c r="V209" s="155">
        <f t="shared" si="643"/>
        <v>0</v>
      </c>
      <c r="W209" s="156">
        <f t="shared" si="644"/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41</v>
      </c>
      <c r="D210" s="21" t="str">
        <f>Spieltag!B197</f>
        <v>Simon Simoni (A)</v>
      </c>
      <c r="E210" s="151" t="str">
        <f>Spieltag!C197</f>
        <v>Torwart</v>
      </c>
      <c r="F210" s="152" t="s">
        <v>103</v>
      </c>
      <c r="G210" s="153"/>
      <c r="H210" s="154">
        <f t="shared" ref="H210" si="653">IF(G210="x",10,0)</f>
        <v>0</v>
      </c>
      <c r="I210" s="153"/>
      <c r="J210" s="154">
        <f t="shared" ref="J210" si="654">IF((I210="x"),-10,0)</f>
        <v>0</v>
      </c>
      <c r="K210" s="153"/>
      <c r="L210" s="154">
        <f t="shared" ref="L210" si="655">IF((K210="x"),-20,0)</f>
        <v>0</v>
      </c>
      <c r="M210" s="153"/>
      <c r="N210" s="154">
        <f t="shared" ref="N210" si="656">IF((M210="x"),-30,0)</f>
        <v>0</v>
      </c>
      <c r="O210" s="155">
        <f t="shared" si="638"/>
        <v>0</v>
      </c>
      <c r="P210" s="155">
        <f t="shared" si="639"/>
        <v>-5</v>
      </c>
      <c r="Q210" s="155">
        <f t="shared" si="640"/>
        <v>-20</v>
      </c>
      <c r="R210" s="153"/>
      <c r="S210" s="154">
        <f t="shared" ref="S210" si="657">R210*20</f>
        <v>0</v>
      </c>
      <c r="T210" s="153"/>
      <c r="U210" s="154">
        <f t="shared" ref="U210" si="658">T210*-15</f>
        <v>0</v>
      </c>
      <c r="V210" s="155">
        <f t="shared" ref="V210" si="659">IF(AND(R210=2),10,IF(R210=3,30,IF(R210=4,50,IF(R210=5,70,0))))</f>
        <v>0</v>
      </c>
      <c r="W210" s="156">
        <f t="shared" ref="W210" si="660">IF(G210="x",H210+J210+L210+N210+O210+P210+Q210+S210+U210+V210,0)</f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42</v>
      </c>
      <c r="D211" s="21" t="str">
        <f>Spieltag!B198</f>
        <v>Luke Grauer</v>
      </c>
      <c r="E211" s="151" t="str">
        <f>Spieltag!C198</f>
        <v>Torwart</v>
      </c>
      <c r="F211" s="152" t="s">
        <v>103</v>
      </c>
      <c r="G211" s="153"/>
      <c r="H211" s="154">
        <f t="shared" si="634"/>
        <v>0</v>
      </c>
      <c r="I211" s="153"/>
      <c r="J211" s="154">
        <f t="shared" si="635"/>
        <v>0</v>
      </c>
      <c r="K211" s="153"/>
      <c r="L211" s="154">
        <f t="shared" si="636"/>
        <v>0</v>
      </c>
      <c r="M211" s="153"/>
      <c r="N211" s="154">
        <f t="shared" si="637"/>
        <v>0</v>
      </c>
      <c r="O211" s="155">
        <f t="shared" si="638"/>
        <v>0</v>
      </c>
      <c r="P211" s="155">
        <f t="shared" si="639"/>
        <v>-5</v>
      </c>
      <c r="Q211" s="155">
        <f t="shared" si="640"/>
        <v>-20</v>
      </c>
      <c r="R211" s="153"/>
      <c r="S211" s="154">
        <f t="shared" si="641"/>
        <v>0</v>
      </c>
      <c r="T211" s="153"/>
      <c r="U211" s="154">
        <f t="shared" si="642"/>
        <v>0</v>
      </c>
      <c r="V211" s="155">
        <f t="shared" si="643"/>
        <v>0</v>
      </c>
      <c r="W211" s="156">
        <f t="shared" si="644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3</v>
      </c>
      <c r="D212" s="21" t="str">
        <f>Spieltag!B199</f>
        <v>Willian Pacho (A)</v>
      </c>
      <c r="E212" s="151" t="str">
        <f>Spieltag!C199</f>
        <v>Abwehr</v>
      </c>
      <c r="F212" s="152" t="s">
        <v>103</v>
      </c>
      <c r="G212" s="153"/>
      <c r="H212" s="154">
        <f>IF(G212="x",10,0)</f>
        <v>0</v>
      </c>
      <c r="I212" s="153"/>
      <c r="J212" s="154">
        <f>IF((I212="x"),-10,0)</f>
        <v>0</v>
      </c>
      <c r="K212" s="153"/>
      <c r="L212" s="154">
        <f>IF((K212="x"),-20,0)</f>
        <v>0</v>
      </c>
      <c r="M212" s="153"/>
      <c r="N212" s="154">
        <f>IF((M212="x"),-30,0)</f>
        <v>0</v>
      </c>
      <c r="O212" s="155">
        <f t="shared" ref="O212:O222" si="661">IF(AND($V$9&gt;$W$9),20,IF($V$9=$W$9,10,0))</f>
        <v>0</v>
      </c>
      <c r="P212" s="155">
        <f t="shared" ref="P212:P222" si="662">IF(($V$9&lt;&gt;0),$V$9*10,-5)</f>
        <v>-5</v>
      </c>
      <c r="Q212" s="155">
        <f t="shared" ref="Q212:Q222" si="663">IF(($W$9&lt;&gt;0),$W$9*-10,15)</f>
        <v>-20</v>
      </c>
      <c r="R212" s="153"/>
      <c r="S212" s="154">
        <f>R212*15</f>
        <v>0</v>
      </c>
      <c r="T212" s="153"/>
      <c r="U212" s="154">
        <f>T212*-15</f>
        <v>0</v>
      </c>
      <c r="V212" s="155">
        <f>IF(AND(R212=2),10,IF(R212=3,30,IF(R212=4,50,IF(R212=5,70,0))))</f>
        <v>0</v>
      </c>
      <c r="W212" s="156">
        <f>IF(G212="x",H212+J212+L212+N212+O212+P212+Q212+S212+U212+V212,0)</f>
        <v>0</v>
      </c>
    </row>
    <row r="213" spans="1:23" ht="10.5" customHeight="1" x14ac:dyDescent="0.2">
      <c r="A213" s="11"/>
      <c r="B213" s="150">
        <f>COUNTA(Spieltag!K200:AA200)</f>
        <v>4</v>
      </c>
      <c r="C213" s="166">
        <f>Spieltag!A200</f>
        <v>4</v>
      </c>
      <c r="D213" s="21" t="str">
        <f>Spieltag!B200</f>
        <v>Robin Koch</v>
      </c>
      <c r="E213" s="151" t="str">
        <f>Spieltag!C200</f>
        <v>Abwehr</v>
      </c>
      <c r="F213" s="152" t="s">
        <v>103</v>
      </c>
      <c r="G213" s="153" t="s">
        <v>675</v>
      </c>
      <c r="H213" s="154">
        <f t="shared" ref="H213:H222" si="664">IF(G213="x",10,0)</f>
        <v>10</v>
      </c>
      <c r="I213" s="153"/>
      <c r="J213" s="154">
        <f t="shared" ref="J213:J222" si="665">IF((I213="x"),-10,0)</f>
        <v>0</v>
      </c>
      <c r="K213" s="153"/>
      <c r="L213" s="154">
        <f t="shared" ref="L213:L222" si="666">IF((K213="x"),-20,0)</f>
        <v>0</v>
      </c>
      <c r="M213" s="153"/>
      <c r="N213" s="154">
        <f t="shared" ref="N213:N222" si="667">IF((M213="x"),-30,0)</f>
        <v>0</v>
      </c>
      <c r="O213" s="155">
        <f t="shared" si="661"/>
        <v>0</v>
      </c>
      <c r="P213" s="155">
        <f t="shared" si="662"/>
        <v>-5</v>
      </c>
      <c r="Q213" s="155">
        <f t="shared" si="663"/>
        <v>-20</v>
      </c>
      <c r="R213" s="153"/>
      <c r="S213" s="154">
        <f t="shared" ref="S213:S222" si="668">R213*15</f>
        <v>0</v>
      </c>
      <c r="T213" s="153"/>
      <c r="U213" s="154">
        <f t="shared" ref="U213:U222" si="669">T213*-15</f>
        <v>0</v>
      </c>
      <c r="V213" s="155">
        <f t="shared" ref="V213:V222" si="670">IF(AND(R213=2),10,IF(R213=3,30,IF(R213=4,50,IF(R213=5,70,0))))</f>
        <v>0</v>
      </c>
      <c r="W213" s="156">
        <f t="shared" ref="W213:W222" si="671">IF(G213="x",H213+J213+L213+N213+O213+P213+Q213+S213+U213+V213,0)</f>
        <v>-15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5</v>
      </c>
      <c r="D214" s="21" t="str">
        <f>Spieltag!B201</f>
        <v>Hrvoje Smolčić (A)</v>
      </c>
      <c r="E214" s="151" t="str">
        <f>Spieltag!C201</f>
        <v>Abwehr</v>
      </c>
      <c r="F214" s="152" t="s">
        <v>103</v>
      </c>
      <c r="G214" s="153"/>
      <c r="H214" s="154">
        <f t="shared" si="664"/>
        <v>0</v>
      </c>
      <c r="I214" s="153"/>
      <c r="J214" s="154">
        <f t="shared" si="665"/>
        <v>0</v>
      </c>
      <c r="K214" s="153"/>
      <c r="L214" s="154">
        <f t="shared" si="666"/>
        <v>0</v>
      </c>
      <c r="M214" s="153"/>
      <c r="N214" s="154">
        <f t="shared" si="667"/>
        <v>0</v>
      </c>
      <c r="O214" s="155">
        <f t="shared" si="661"/>
        <v>0</v>
      </c>
      <c r="P214" s="155">
        <f t="shared" si="662"/>
        <v>-5</v>
      </c>
      <c r="Q214" s="155">
        <f t="shared" si="663"/>
        <v>-20</v>
      </c>
      <c r="R214" s="153"/>
      <c r="S214" s="154">
        <f t="shared" si="668"/>
        <v>0</v>
      </c>
      <c r="T214" s="153"/>
      <c r="U214" s="154">
        <f t="shared" si="669"/>
        <v>0</v>
      </c>
      <c r="V214" s="155">
        <f t="shared" si="670"/>
        <v>0</v>
      </c>
      <c r="W214" s="156">
        <f t="shared" si="671"/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20</v>
      </c>
      <c r="D215" s="21" t="str">
        <f>Spieltag!B202</f>
        <v>Makoto Hasebe (A)</v>
      </c>
      <c r="E215" s="151" t="str">
        <f>Spieltag!C202</f>
        <v>Abwehr</v>
      </c>
      <c r="F215" s="152" t="s">
        <v>103</v>
      </c>
      <c r="G215" s="153"/>
      <c r="H215" s="154">
        <f t="shared" si="664"/>
        <v>0</v>
      </c>
      <c r="I215" s="153"/>
      <c r="J215" s="154">
        <f t="shared" si="665"/>
        <v>0</v>
      </c>
      <c r="K215" s="153"/>
      <c r="L215" s="154">
        <f t="shared" si="666"/>
        <v>0</v>
      </c>
      <c r="M215" s="153"/>
      <c r="N215" s="154">
        <f t="shared" si="667"/>
        <v>0</v>
      </c>
      <c r="O215" s="155">
        <f t="shared" si="661"/>
        <v>0</v>
      </c>
      <c r="P215" s="155">
        <f t="shared" si="662"/>
        <v>-5</v>
      </c>
      <c r="Q215" s="155">
        <f t="shared" si="663"/>
        <v>-20</v>
      </c>
      <c r="R215" s="153"/>
      <c r="S215" s="154">
        <f t="shared" si="668"/>
        <v>0</v>
      </c>
      <c r="T215" s="153"/>
      <c r="U215" s="154">
        <f t="shared" si="669"/>
        <v>0</v>
      </c>
      <c r="V215" s="155">
        <f t="shared" si="670"/>
        <v>0</v>
      </c>
      <c r="W215" s="156">
        <f t="shared" si="671"/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24</v>
      </c>
      <c r="D216" s="21" t="str">
        <f>Spieltag!B203</f>
        <v>Aurélio Buta (A)</v>
      </c>
      <c r="E216" s="151" t="str">
        <f>Spieltag!C203</f>
        <v>Abwehr</v>
      </c>
      <c r="F216" s="152" t="s">
        <v>103</v>
      </c>
      <c r="G216" s="153"/>
      <c r="H216" s="154">
        <f t="shared" si="664"/>
        <v>0</v>
      </c>
      <c r="I216" s="153"/>
      <c r="J216" s="154">
        <f t="shared" si="665"/>
        <v>0</v>
      </c>
      <c r="K216" s="153"/>
      <c r="L216" s="154">
        <f t="shared" si="666"/>
        <v>0</v>
      </c>
      <c r="M216" s="153"/>
      <c r="N216" s="154">
        <f t="shared" si="667"/>
        <v>0</v>
      </c>
      <c r="O216" s="155">
        <f t="shared" si="661"/>
        <v>0</v>
      </c>
      <c r="P216" s="155">
        <f t="shared" si="662"/>
        <v>-5</v>
      </c>
      <c r="Q216" s="155">
        <f t="shared" si="663"/>
        <v>-20</v>
      </c>
      <c r="R216" s="153"/>
      <c r="S216" s="154">
        <f t="shared" si="668"/>
        <v>0</v>
      </c>
      <c r="T216" s="153"/>
      <c r="U216" s="154">
        <f t="shared" si="669"/>
        <v>0</v>
      </c>
      <c r="V216" s="155">
        <f t="shared" si="670"/>
        <v>0</v>
      </c>
      <c r="W216" s="156">
        <f t="shared" si="671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29</v>
      </c>
      <c r="D217" s="21" t="str">
        <f>Spieltag!B204</f>
        <v>Niels Nkounkou (A)</v>
      </c>
      <c r="E217" s="151" t="str">
        <f>Spieltag!C204</f>
        <v>Abwehr</v>
      </c>
      <c r="F217" s="152" t="s">
        <v>103</v>
      </c>
      <c r="G217" s="153"/>
      <c r="H217" s="154">
        <f t="shared" si="664"/>
        <v>0</v>
      </c>
      <c r="I217" s="153"/>
      <c r="J217" s="154">
        <f t="shared" si="665"/>
        <v>0</v>
      </c>
      <c r="K217" s="153"/>
      <c r="L217" s="154">
        <f t="shared" si="666"/>
        <v>0</v>
      </c>
      <c r="M217" s="153"/>
      <c r="N217" s="154">
        <f t="shared" si="667"/>
        <v>0</v>
      </c>
      <c r="O217" s="155">
        <f t="shared" si="661"/>
        <v>0</v>
      </c>
      <c r="P217" s="155">
        <f t="shared" si="662"/>
        <v>-5</v>
      </c>
      <c r="Q217" s="155">
        <f t="shared" si="663"/>
        <v>-20</v>
      </c>
      <c r="R217" s="153"/>
      <c r="S217" s="154">
        <f t="shared" si="668"/>
        <v>0</v>
      </c>
      <c r="T217" s="153"/>
      <c r="U217" s="154">
        <f t="shared" si="669"/>
        <v>0</v>
      </c>
      <c r="V217" s="155">
        <f t="shared" si="670"/>
        <v>0</v>
      </c>
      <c r="W217" s="156">
        <f t="shared" si="671"/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31</v>
      </c>
      <c r="D218" s="21" t="str">
        <f>Spieltag!B205</f>
        <v>Philipp Max</v>
      </c>
      <c r="E218" s="151" t="str">
        <f>Spieltag!C205</f>
        <v>Abwehr</v>
      </c>
      <c r="F218" s="152" t="s">
        <v>103</v>
      </c>
      <c r="G218" s="153"/>
      <c r="H218" s="154">
        <f t="shared" ref="H218" si="672">IF(G218="x",10,0)</f>
        <v>0</v>
      </c>
      <c r="I218" s="153"/>
      <c r="J218" s="154">
        <f t="shared" ref="J218" si="673">IF((I218="x"),-10,0)</f>
        <v>0</v>
      </c>
      <c r="K218" s="153"/>
      <c r="L218" s="154">
        <f t="shared" ref="L218" si="674">IF((K218="x"),-20,0)</f>
        <v>0</v>
      </c>
      <c r="M218" s="153"/>
      <c r="N218" s="154">
        <f t="shared" ref="N218" si="675">IF((M218="x"),-30,0)</f>
        <v>0</v>
      </c>
      <c r="O218" s="155">
        <f t="shared" si="661"/>
        <v>0</v>
      </c>
      <c r="P218" s="155">
        <f t="shared" si="662"/>
        <v>-5</v>
      </c>
      <c r="Q218" s="155">
        <f t="shared" si="663"/>
        <v>-20</v>
      </c>
      <c r="R218" s="153"/>
      <c r="S218" s="154">
        <f t="shared" ref="S218" si="676">R218*15</f>
        <v>0</v>
      </c>
      <c r="T218" s="153"/>
      <c r="U218" s="154">
        <f t="shared" ref="U218" si="677">T218*-15</f>
        <v>0</v>
      </c>
      <c r="V218" s="155">
        <f t="shared" ref="V218" si="678">IF(AND(R218=2),10,IF(R218=3,30,IF(R218=4,50,IF(R218=5,70,0))))</f>
        <v>0</v>
      </c>
      <c r="W218" s="156">
        <f t="shared" ref="W218" si="679">IF(G218="x",H218+J218+L218+N218+O218+P218+Q218+S218+U218+V218,0)</f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34</v>
      </c>
      <c r="D219" s="21" t="str">
        <f>Spieltag!B206</f>
        <v>Nnamdi Collins</v>
      </c>
      <c r="E219" s="151" t="str">
        <f>Spieltag!C206</f>
        <v>Abwehr</v>
      </c>
      <c r="F219" s="152" t="s">
        <v>103</v>
      </c>
      <c r="G219" s="153"/>
      <c r="H219" s="154">
        <f t="shared" si="664"/>
        <v>0</v>
      </c>
      <c r="I219" s="153"/>
      <c r="J219" s="154">
        <f t="shared" si="665"/>
        <v>0</v>
      </c>
      <c r="K219" s="153"/>
      <c r="L219" s="154">
        <f t="shared" si="666"/>
        <v>0</v>
      </c>
      <c r="M219" s="153"/>
      <c r="N219" s="154">
        <f t="shared" si="667"/>
        <v>0</v>
      </c>
      <c r="O219" s="155">
        <f t="shared" si="661"/>
        <v>0</v>
      </c>
      <c r="P219" s="155">
        <f t="shared" si="662"/>
        <v>-5</v>
      </c>
      <c r="Q219" s="155">
        <f t="shared" si="663"/>
        <v>-20</v>
      </c>
      <c r="R219" s="153"/>
      <c r="S219" s="154">
        <f t="shared" si="668"/>
        <v>0</v>
      </c>
      <c r="T219" s="153"/>
      <c r="U219" s="154">
        <f t="shared" si="669"/>
        <v>0</v>
      </c>
      <c r="V219" s="155">
        <f t="shared" si="670"/>
        <v>0</v>
      </c>
      <c r="W219" s="156">
        <f t="shared" si="671"/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35</v>
      </c>
      <c r="D220" s="21" t="str">
        <f>Spieltag!B207</f>
        <v>Tuta (A)</v>
      </c>
      <c r="E220" s="151" t="str">
        <f>Spieltag!C207</f>
        <v>Abwehr</v>
      </c>
      <c r="F220" s="152" t="s">
        <v>103</v>
      </c>
      <c r="G220" s="153"/>
      <c r="H220" s="154">
        <f t="shared" si="664"/>
        <v>0</v>
      </c>
      <c r="I220" s="153"/>
      <c r="J220" s="154">
        <f t="shared" si="665"/>
        <v>0</v>
      </c>
      <c r="K220" s="153"/>
      <c r="L220" s="154">
        <f t="shared" si="666"/>
        <v>0</v>
      </c>
      <c r="M220" s="153"/>
      <c r="N220" s="154">
        <f t="shared" si="667"/>
        <v>0</v>
      </c>
      <c r="O220" s="155">
        <f t="shared" si="661"/>
        <v>0</v>
      </c>
      <c r="P220" s="155">
        <f t="shared" si="662"/>
        <v>-5</v>
      </c>
      <c r="Q220" s="155">
        <f t="shared" si="663"/>
        <v>-20</v>
      </c>
      <c r="R220" s="153"/>
      <c r="S220" s="154">
        <f t="shared" si="668"/>
        <v>0</v>
      </c>
      <c r="T220" s="153"/>
      <c r="U220" s="154">
        <f t="shared" si="669"/>
        <v>0</v>
      </c>
      <c r="V220" s="155">
        <f t="shared" si="670"/>
        <v>0</v>
      </c>
      <c r="W220" s="156">
        <f t="shared" si="671"/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46</v>
      </c>
      <c r="D221" s="21" t="str">
        <f>Spieltag!B208</f>
        <v>Dario Gebuhr</v>
      </c>
      <c r="E221" s="151" t="str">
        <f>Spieltag!C208</f>
        <v>Abwehr</v>
      </c>
      <c r="F221" s="152" t="s">
        <v>103</v>
      </c>
      <c r="G221" s="153"/>
      <c r="H221" s="154">
        <f t="shared" si="664"/>
        <v>0</v>
      </c>
      <c r="I221" s="153"/>
      <c r="J221" s="154">
        <f t="shared" si="665"/>
        <v>0</v>
      </c>
      <c r="K221" s="153"/>
      <c r="L221" s="154">
        <f t="shared" si="666"/>
        <v>0</v>
      </c>
      <c r="M221" s="153"/>
      <c r="N221" s="154">
        <f t="shared" si="667"/>
        <v>0</v>
      </c>
      <c r="O221" s="155">
        <f t="shared" si="661"/>
        <v>0</v>
      </c>
      <c r="P221" s="155">
        <f t="shared" si="662"/>
        <v>-5</v>
      </c>
      <c r="Q221" s="155">
        <f t="shared" si="663"/>
        <v>-20</v>
      </c>
      <c r="R221" s="153"/>
      <c r="S221" s="154">
        <f t="shared" si="668"/>
        <v>0</v>
      </c>
      <c r="T221" s="153"/>
      <c r="U221" s="154">
        <f t="shared" si="669"/>
        <v>0</v>
      </c>
      <c r="V221" s="155">
        <f t="shared" si="670"/>
        <v>0</v>
      </c>
      <c r="W221" s="156">
        <f t="shared" si="671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47</v>
      </c>
      <c r="D222" s="21" t="str">
        <f>Spieltag!B209</f>
        <v>Elias Baum</v>
      </c>
      <c r="E222" s="151" t="str">
        <f>Spieltag!C209</f>
        <v>Abwehr</v>
      </c>
      <c r="F222" s="152" t="s">
        <v>103</v>
      </c>
      <c r="G222" s="153"/>
      <c r="H222" s="154">
        <f t="shared" si="664"/>
        <v>0</v>
      </c>
      <c r="I222" s="153"/>
      <c r="J222" s="154">
        <f t="shared" si="665"/>
        <v>0</v>
      </c>
      <c r="K222" s="153"/>
      <c r="L222" s="154">
        <f t="shared" si="666"/>
        <v>0</v>
      </c>
      <c r="M222" s="153"/>
      <c r="N222" s="154">
        <f t="shared" si="667"/>
        <v>0</v>
      </c>
      <c r="O222" s="155">
        <f t="shared" si="661"/>
        <v>0</v>
      </c>
      <c r="P222" s="155">
        <f t="shared" si="662"/>
        <v>-5</v>
      </c>
      <c r="Q222" s="155">
        <f t="shared" si="663"/>
        <v>-20</v>
      </c>
      <c r="R222" s="153"/>
      <c r="S222" s="154">
        <f t="shared" si="668"/>
        <v>0</v>
      </c>
      <c r="T222" s="153"/>
      <c r="U222" s="154">
        <f t="shared" si="669"/>
        <v>0</v>
      </c>
      <c r="V222" s="155">
        <f t="shared" si="670"/>
        <v>0</v>
      </c>
      <c r="W222" s="156">
        <f t="shared" si="671"/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8</v>
      </c>
      <c r="D223" s="21" t="str">
        <f>Spieltag!B210</f>
        <v>Farès Chaibi (A)</v>
      </c>
      <c r="E223" s="151" t="str">
        <f>Spieltag!C210</f>
        <v>Mittelfeld</v>
      </c>
      <c r="F223" s="152" t="s">
        <v>103</v>
      </c>
      <c r="G223" s="153"/>
      <c r="H223" s="154">
        <f>IF(G223="x",10,0)</f>
        <v>0</v>
      </c>
      <c r="I223" s="153"/>
      <c r="J223" s="154">
        <f>IF((I223="x"),-10,0)</f>
        <v>0</v>
      </c>
      <c r="K223" s="153"/>
      <c r="L223" s="154">
        <f>IF((K223="x"),-20,0)</f>
        <v>0</v>
      </c>
      <c r="M223" s="153"/>
      <c r="N223" s="154">
        <f>IF((M223="x"),-30,0)</f>
        <v>0</v>
      </c>
      <c r="O223" s="155">
        <f t="shared" ref="O223:O235" si="680">IF(AND($V$9&gt;$W$9),20,IF($V$9=$W$9,10,0))</f>
        <v>0</v>
      </c>
      <c r="P223" s="155">
        <f t="shared" ref="P223:P235" si="681">IF(($V$9&lt;&gt;0),$V$9*10,-5)</f>
        <v>-5</v>
      </c>
      <c r="Q223" s="155">
        <f t="shared" ref="Q223:Q235" si="682">IF(($W$9&lt;&gt;0),$W$9*-10,10)</f>
        <v>-20</v>
      </c>
      <c r="R223" s="153"/>
      <c r="S223" s="154">
        <f>R223*10</f>
        <v>0</v>
      </c>
      <c r="T223" s="153"/>
      <c r="U223" s="154">
        <f>T223*-15</f>
        <v>0</v>
      </c>
      <c r="V223" s="155">
        <f>IF(AND(R223=2),10,IF(R223=3,30,IF(R223=4,50,IF(R223=5,70,0))))</f>
        <v>0</v>
      </c>
      <c r="W223" s="156">
        <f>IF(G223="x",H223+J223+L223+N223+O223+P223+Q223+S223+U223+V223,0)</f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15</v>
      </c>
      <c r="D224" s="21" t="str">
        <f>Spieltag!B211</f>
        <v>Ellyes Skhiri (A)</v>
      </c>
      <c r="E224" s="151" t="str">
        <f>Spieltag!C211</f>
        <v>Mittelfeld</v>
      </c>
      <c r="F224" s="152" t="s">
        <v>103</v>
      </c>
      <c r="G224" s="153"/>
      <c r="H224" s="154">
        <f t="shared" ref="H224:H230" si="683">IF(G224="x",10,0)</f>
        <v>0</v>
      </c>
      <c r="I224" s="153"/>
      <c r="J224" s="154">
        <f t="shared" ref="J224:J230" si="684">IF((I224="x"),-10,0)</f>
        <v>0</v>
      </c>
      <c r="K224" s="153"/>
      <c r="L224" s="154">
        <f t="shared" ref="L224:L230" si="685">IF((K224="x"),-20,0)</f>
        <v>0</v>
      </c>
      <c r="M224" s="153"/>
      <c r="N224" s="154">
        <f t="shared" ref="N224:N230" si="686">IF((M224="x"),-30,0)</f>
        <v>0</v>
      </c>
      <c r="O224" s="155">
        <f t="shared" si="680"/>
        <v>0</v>
      </c>
      <c r="P224" s="155">
        <f t="shared" si="681"/>
        <v>-5</v>
      </c>
      <c r="Q224" s="155">
        <f t="shared" si="682"/>
        <v>-20</v>
      </c>
      <c r="R224" s="153"/>
      <c r="S224" s="154">
        <f t="shared" ref="S224:S230" si="687">R224*10</f>
        <v>0</v>
      </c>
      <c r="T224" s="153"/>
      <c r="U224" s="154">
        <f t="shared" ref="U224:U230" si="688">T224*-15</f>
        <v>0</v>
      </c>
      <c r="V224" s="155">
        <f t="shared" ref="V224:V230" si="689">IF(AND(R224=2),10,IF(R224=3,30,IF(R224=4,50,IF(R224=5,70,0))))</f>
        <v>0</v>
      </c>
      <c r="W224" s="156">
        <f t="shared" ref="W224:W230" si="690">IF(G224="x",H224+J224+L224+N224+O224+P224+Q224+S224+U224+V224,0)</f>
        <v>0</v>
      </c>
    </row>
    <row r="225" spans="1:23" ht="10.5" hidden="1" customHeight="1" x14ac:dyDescent="0.2">
      <c r="A225" s="11"/>
      <c r="B225" s="150">
        <f>COUNTA(Spieltag!K212:AA212)</f>
        <v>0</v>
      </c>
      <c r="C225" s="166">
        <f>Spieltag!A212</f>
        <v>16</v>
      </c>
      <c r="D225" s="21" t="str">
        <f>Spieltag!B212</f>
        <v>Hugo Larsson (A)</v>
      </c>
      <c r="E225" s="151" t="str">
        <f>Spieltag!C212</f>
        <v>Mittelfeld</v>
      </c>
      <c r="F225" s="152" t="s">
        <v>103</v>
      </c>
      <c r="G225" s="153"/>
      <c r="H225" s="154">
        <f t="shared" si="683"/>
        <v>0</v>
      </c>
      <c r="I225" s="153"/>
      <c r="J225" s="154">
        <f t="shared" si="684"/>
        <v>0</v>
      </c>
      <c r="K225" s="153"/>
      <c r="L225" s="154">
        <f t="shared" si="685"/>
        <v>0</v>
      </c>
      <c r="M225" s="153"/>
      <c r="N225" s="154">
        <f t="shared" si="686"/>
        <v>0</v>
      </c>
      <c r="O225" s="155">
        <f t="shared" si="680"/>
        <v>0</v>
      </c>
      <c r="P225" s="155">
        <f t="shared" si="681"/>
        <v>-5</v>
      </c>
      <c r="Q225" s="155">
        <f t="shared" si="682"/>
        <v>-20</v>
      </c>
      <c r="R225" s="153"/>
      <c r="S225" s="154">
        <f t="shared" si="687"/>
        <v>0</v>
      </c>
      <c r="T225" s="153"/>
      <c r="U225" s="154">
        <f t="shared" si="688"/>
        <v>0</v>
      </c>
      <c r="V225" s="155">
        <f t="shared" si="689"/>
        <v>0</v>
      </c>
      <c r="W225" s="156">
        <f t="shared" si="690"/>
        <v>0</v>
      </c>
    </row>
    <row r="226" spans="1:23" ht="10.5" hidden="1" customHeight="1" x14ac:dyDescent="0.2">
      <c r="A226" s="11"/>
      <c r="B226" s="150">
        <f>COUNTA(Spieltag!K213:AA213)</f>
        <v>0</v>
      </c>
      <c r="C226" s="166">
        <f>Spieltag!A213</f>
        <v>17</v>
      </c>
      <c r="D226" s="21" t="str">
        <f>Spieltag!B213</f>
        <v>Sebastian Rode</v>
      </c>
      <c r="E226" s="151" t="str">
        <f>Spieltag!C213</f>
        <v>Mittelfeld</v>
      </c>
      <c r="F226" s="152" t="s">
        <v>103</v>
      </c>
      <c r="G226" s="153"/>
      <c r="H226" s="154">
        <f t="shared" si="683"/>
        <v>0</v>
      </c>
      <c r="I226" s="153"/>
      <c r="J226" s="154">
        <f t="shared" si="684"/>
        <v>0</v>
      </c>
      <c r="K226" s="153"/>
      <c r="L226" s="154">
        <f t="shared" si="685"/>
        <v>0</v>
      </c>
      <c r="M226" s="153"/>
      <c r="N226" s="154">
        <f t="shared" si="686"/>
        <v>0</v>
      </c>
      <c r="O226" s="155">
        <f t="shared" si="680"/>
        <v>0</v>
      </c>
      <c r="P226" s="155">
        <f t="shared" si="681"/>
        <v>-5</v>
      </c>
      <c r="Q226" s="155">
        <f t="shared" si="682"/>
        <v>-20</v>
      </c>
      <c r="R226" s="153"/>
      <c r="S226" s="154">
        <f t="shared" si="687"/>
        <v>0</v>
      </c>
      <c r="T226" s="153"/>
      <c r="U226" s="154">
        <f t="shared" si="688"/>
        <v>0</v>
      </c>
      <c r="V226" s="155">
        <f t="shared" si="689"/>
        <v>0</v>
      </c>
      <c r="W226" s="156">
        <f t="shared" si="690"/>
        <v>0</v>
      </c>
    </row>
    <row r="227" spans="1:23" ht="10.5" hidden="1" customHeight="1" x14ac:dyDescent="0.2">
      <c r="A227" s="11"/>
      <c r="B227" s="150">
        <f>COUNTA(Spieltag!K214:AA214)</f>
        <v>0</v>
      </c>
      <c r="C227" s="166">
        <f>Spieltag!A214</f>
        <v>22</v>
      </c>
      <c r="D227" s="21" t="str">
        <f>Spieltag!B214</f>
        <v>Timothy Chandler</v>
      </c>
      <c r="E227" s="151" t="str">
        <f>Spieltag!C214</f>
        <v>Mittelfeld</v>
      </c>
      <c r="F227" s="152" t="s">
        <v>103</v>
      </c>
      <c r="G227" s="153"/>
      <c r="H227" s="154">
        <f t="shared" si="683"/>
        <v>0</v>
      </c>
      <c r="I227" s="153"/>
      <c r="J227" s="154">
        <f t="shared" si="684"/>
        <v>0</v>
      </c>
      <c r="K227" s="153"/>
      <c r="L227" s="154">
        <f t="shared" si="685"/>
        <v>0</v>
      </c>
      <c r="M227" s="153"/>
      <c r="N227" s="154">
        <f t="shared" si="686"/>
        <v>0</v>
      </c>
      <c r="O227" s="155">
        <f t="shared" si="680"/>
        <v>0</v>
      </c>
      <c r="P227" s="155">
        <f t="shared" si="681"/>
        <v>-5</v>
      </c>
      <c r="Q227" s="155">
        <f t="shared" si="682"/>
        <v>-20</v>
      </c>
      <c r="R227" s="153"/>
      <c r="S227" s="154">
        <f t="shared" si="687"/>
        <v>0</v>
      </c>
      <c r="T227" s="153"/>
      <c r="U227" s="154">
        <f t="shared" si="688"/>
        <v>0</v>
      </c>
      <c r="V227" s="155">
        <f t="shared" si="689"/>
        <v>0</v>
      </c>
      <c r="W227" s="156">
        <f t="shared" si="690"/>
        <v>0</v>
      </c>
    </row>
    <row r="228" spans="1:23" ht="10.5" hidden="1" customHeight="1" x14ac:dyDescent="0.2">
      <c r="A228" s="11"/>
      <c r="B228" s="150">
        <f>COUNTA(Spieltag!K215:AA215)</f>
        <v>0</v>
      </c>
      <c r="C228" s="166">
        <f>Spieltag!A215</f>
        <v>25</v>
      </c>
      <c r="D228" s="21" t="str">
        <f>Spieltag!B215</f>
        <v>Donny van de Beek (A)</v>
      </c>
      <c r="E228" s="151" t="str">
        <f>Spieltag!C215</f>
        <v>Mittelfeld</v>
      </c>
      <c r="F228" s="152" t="s">
        <v>103</v>
      </c>
      <c r="G228" s="153"/>
      <c r="H228" s="154">
        <f t="shared" ref="H228" si="691">IF(G228="x",10,0)</f>
        <v>0</v>
      </c>
      <c r="I228" s="153"/>
      <c r="J228" s="154">
        <f t="shared" ref="J228" si="692">IF((I228="x"),-10,0)</f>
        <v>0</v>
      </c>
      <c r="K228" s="153"/>
      <c r="L228" s="154">
        <f t="shared" ref="L228" si="693">IF((K228="x"),-20,0)</f>
        <v>0</v>
      </c>
      <c r="M228" s="153"/>
      <c r="N228" s="154">
        <f t="shared" ref="N228" si="694">IF((M228="x"),-30,0)</f>
        <v>0</v>
      </c>
      <c r="O228" s="155">
        <f t="shared" si="680"/>
        <v>0</v>
      </c>
      <c r="P228" s="155">
        <f t="shared" si="681"/>
        <v>-5</v>
      </c>
      <c r="Q228" s="155">
        <f t="shared" si="682"/>
        <v>-20</v>
      </c>
      <c r="R228" s="153"/>
      <c r="S228" s="154">
        <f t="shared" ref="S228" si="695">R228*10</f>
        <v>0</v>
      </c>
      <c r="T228" s="153"/>
      <c r="U228" s="154">
        <f t="shared" ref="U228" si="696">T228*-15</f>
        <v>0</v>
      </c>
      <c r="V228" s="155">
        <f t="shared" ref="V228" si="697">IF(AND(R228=2),10,IF(R228=3,30,IF(R228=4,50,IF(R228=5,70,0))))</f>
        <v>0</v>
      </c>
      <c r="W228" s="156">
        <f t="shared" ref="W228" si="698">IF(G228="x",H228+J228+L228+N228+O228+P228+Q228+S228+U228+V228,0)</f>
        <v>0</v>
      </c>
    </row>
    <row r="229" spans="1:23" ht="10.5" hidden="1" customHeight="1" x14ac:dyDescent="0.2">
      <c r="A229" s="11"/>
      <c r="B229" s="150">
        <f>COUNTA(Spieltag!K216:AA216)</f>
        <v>0</v>
      </c>
      <c r="C229" s="166">
        <f>Spieltag!A216</f>
        <v>26</v>
      </c>
      <c r="D229" s="21" t="str">
        <f>Spieltag!B216</f>
        <v>Eric Junior Dina Ebimbe (A)</v>
      </c>
      <c r="E229" s="151" t="str">
        <f>Spieltag!C216</f>
        <v>Mittelfeld</v>
      </c>
      <c r="F229" s="152" t="s">
        <v>103</v>
      </c>
      <c r="G229" s="153"/>
      <c r="H229" s="154">
        <f t="shared" si="683"/>
        <v>0</v>
      </c>
      <c r="I229" s="153"/>
      <c r="J229" s="154">
        <f t="shared" si="684"/>
        <v>0</v>
      </c>
      <c r="K229" s="153"/>
      <c r="L229" s="154">
        <f t="shared" si="685"/>
        <v>0</v>
      </c>
      <c r="M229" s="153"/>
      <c r="N229" s="154">
        <f t="shared" si="686"/>
        <v>0</v>
      </c>
      <c r="O229" s="155">
        <f t="shared" si="680"/>
        <v>0</v>
      </c>
      <c r="P229" s="155">
        <f t="shared" si="681"/>
        <v>-5</v>
      </c>
      <c r="Q229" s="155">
        <f t="shared" si="682"/>
        <v>-20</v>
      </c>
      <c r="R229" s="153"/>
      <c r="S229" s="154">
        <f t="shared" si="687"/>
        <v>0</v>
      </c>
      <c r="T229" s="153"/>
      <c r="U229" s="154">
        <f t="shared" si="688"/>
        <v>0</v>
      </c>
      <c r="V229" s="155">
        <f t="shared" si="689"/>
        <v>0</v>
      </c>
      <c r="W229" s="156">
        <f t="shared" si="690"/>
        <v>0</v>
      </c>
    </row>
    <row r="230" spans="1:23" ht="10.5" customHeight="1" x14ac:dyDescent="0.2">
      <c r="A230" s="11"/>
      <c r="B230" s="150">
        <f>COUNTA(Spieltag!K217:AA217)</f>
        <v>3</v>
      </c>
      <c r="C230" s="166">
        <f>Spieltag!A217</f>
        <v>27</v>
      </c>
      <c r="D230" s="21" t="str">
        <f>Spieltag!B217</f>
        <v>Mario Götze</v>
      </c>
      <c r="E230" s="151" t="str">
        <f>Spieltag!C217</f>
        <v>Mittelfeld</v>
      </c>
      <c r="F230" s="152" t="s">
        <v>103</v>
      </c>
      <c r="G230" s="153" t="s">
        <v>675</v>
      </c>
      <c r="H230" s="154">
        <f t="shared" si="683"/>
        <v>10</v>
      </c>
      <c r="I230" s="153"/>
      <c r="J230" s="154">
        <f t="shared" si="684"/>
        <v>0</v>
      </c>
      <c r="K230" s="153"/>
      <c r="L230" s="154">
        <f t="shared" si="685"/>
        <v>0</v>
      </c>
      <c r="M230" s="153"/>
      <c r="N230" s="154">
        <f t="shared" si="686"/>
        <v>0</v>
      </c>
      <c r="O230" s="155">
        <f t="shared" si="680"/>
        <v>0</v>
      </c>
      <c r="P230" s="155">
        <f t="shared" si="681"/>
        <v>-5</v>
      </c>
      <c r="Q230" s="155">
        <f t="shared" si="682"/>
        <v>-20</v>
      </c>
      <c r="R230" s="153"/>
      <c r="S230" s="154">
        <f t="shared" si="687"/>
        <v>0</v>
      </c>
      <c r="T230" s="153"/>
      <c r="U230" s="154">
        <f t="shared" si="688"/>
        <v>0</v>
      </c>
      <c r="V230" s="155">
        <f t="shared" si="689"/>
        <v>0</v>
      </c>
      <c r="W230" s="156">
        <f t="shared" si="690"/>
        <v>-15</v>
      </c>
    </row>
    <row r="231" spans="1:23" ht="10.5" hidden="1" customHeight="1" x14ac:dyDescent="0.2">
      <c r="A231" s="11"/>
      <c r="B231" s="150">
        <f>COUNTA(Spieltag!K218:AA218)</f>
        <v>0</v>
      </c>
      <c r="C231" s="166">
        <f>Spieltag!A218</f>
        <v>30</v>
      </c>
      <c r="D231" s="21" t="str">
        <f>Spieltag!B218</f>
        <v>Paxton Aaronson (A)</v>
      </c>
      <c r="E231" s="151" t="str">
        <f>Spieltag!C218</f>
        <v>Mittelfeld</v>
      </c>
      <c r="F231" s="152" t="s">
        <v>103</v>
      </c>
      <c r="G231" s="153"/>
      <c r="H231" s="154">
        <f>IF(G231="x",10,0)</f>
        <v>0</v>
      </c>
      <c r="I231" s="153"/>
      <c r="J231" s="154">
        <f>IF((I231="x"),-10,0)</f>
        <v>0</v>
      </c>
      <c r="K231" s="153"/>
      <c r="L231" s="154">
        <f>IF((K231="x"),-20,0)</f>
        <v>0</v>
      </c>
      <c r="M231" s="153"/>
      <c r="N231" s="154">
        <f>IF((M231="x"),-30,0)</f>
        <v>0</v>
      </c>
      <c r="O231" s="155">
        <f t="shared" si="680"/>
        <v>0</v>
      </c>
      <c r="P231" s="155">
        <f t="shared" si="681"/>
        <v>-5</v>
      </c>
      <c r="Q231" s="155">
        <f t="shared" si="682"/>
        <v>-20</v>
      </c>
      <c r="R231" s="153"/>
      <c r="S231" s="154">
        <f>R231*10</f>
        <v>0</v>
      </c>
      <c r="T231" s="153"/>
      <c r="U231" s="154">
        <f>T231*-15</f>
        <v>0</v>
      </c>
      <c r="V231" s="155">
        <f>IF(AND(R231=2),10,IF(R231=3,30,IF(R231=4,50,IF(R231=5,70,0))))</f>
        <v>0</v>
      </c>
      <c r="W231" s="156">
        <f>IF(G231="x",H231+J231+L231+N231+O231+P231+Q231+S231+U231+V231,0)</f>
        <v>0</v>
      </c>
    </row>
    <row r="232" spans="1:23" ht="10.5" hidden="1" customHeight="1" x14ac:dyDescent="0.2">
      <c r="A232" s="11"/>
      <c r="B232" s="150">
        <f>COUNTA(Spieltag!K219:AA219)</f>
        <v>0</v>
      </c>
      <c r="C232" s="166">
        <f>Spieltag!A219</f>
        <v>37</v>
      </c>
      <c r="D232" s="21" t="str">
        <f>Spieltag!B219</f>
        <v>Sidney Raebiger</v>
      </c>
      <c r="E232" s="151" t="str">
        <f>Spieltag!C219</f>
        <v>Mittelfeld</v>
      </c>
      <c r="F232" s="152" t="s">
        <v>103</v>
      </c>
      <c r="G232" s="153"/>
      <c r="H232" s="154">
        <f t="shared" ref="H232" si="699">IF(G232="x",10,0)</f>
        <v>0</v>
      </c>
      <c r="I232" s="153"/>
      <c r="J232" s="154">
        <f t="shared" ref="J232" si="700">IF((I232="x"),-10,0)</f>
        <v>0</v>
      </c>
      <c r="K232" s="153"/>
      <c r="L232" s="154">
        <f t="shared" ref="L232" si="701">IF((K232="x"),-20,0)</f>
        <v>0</v>
      </c>
      <c r="M232" s="153"/>
      <c r="N232" s="154">
        <f t="shared" ref="N232" si="702">IF((M232="x"),-30,0)</f>
        <v>0</v>
      </c>
      <c r="O232" s="155">
        <f t="shared" si="680"/>
        <v>0</v>
      </c>
      <c r="P232" s="155">
        <f t="shared" si="681"/>
        <v>-5</v>
      </c>
      <c r="Q232" s="155">
        <f t="shared" si="682"/>
        <v>-20</v>
      </c>
      <c r="R232" s="153"/>
      <c r="S232" s="154">
        <f t="shared" ref="S232" si="703">R232*10</f>
        <v>0</v>
      </c>
      <c r="T232" s="153"/>
      <c r="U232" s="154">
        <f t="shared" ref="U232" si="704">T232*-15</f>
        <v>0</v>
      </c>
      <c r="V232" s="155">
        <f t="shared" ref="V232" si="705">IF(AND(R232=2),10,IF(R232=3,30,IF(R232=4,50,IF(R232=5,70,0))))</f>
        <v>0</v>
      </c>
      <c r="W232" s="156">
        <f t="shared" ref="W232" si="706">IF(G232="x",H232+J232+L232+N232+O232+P232+Q232+S232+U232+V232,0)</f>
        <v>0</v>
      </c>
    </row>
    <row r="233" spans="1:23" ht="10.5" hidden="1" customHeight="1" x14ac:dyDescent="0.2">
      <c r="A233" s="11"/>
      <c r="B233" s="150">
        <f>COUNTA(Spieltag!K220:AA220)</f>
        <v>0</v>
      </c>
      <c r="C233" s="166">
        <f>Spieltag!A220</f>
        <v>44</v>
      </c>
      <c r="D233" s="21" t="str">
        <f>Spieltag!B220</f>
        <v>Davis Bautista (A)</v>
      </c>
      <c r="E233" s="151" t="str">
        <f>Spieltag!C220</f>
        <v>Mittelfeld</v>
      </c>
      <c r="F233" s="152" t="s">
        <v>103</v>
      </c>
      <c r="G233" s="153"/>
      <c r="H233" s="154">
        <f t="shared" ref="H233:H234" si="707">IF(G233="x",10,0)</f>
        <v>0</v>
      </c>
      <c r="I233" s="153"/>
      <c r="J233" s="154">
        <f t="shared" ref="J233:J234" si="708">IF((I233="x"),-10,0)</f>
        <v>0</v>
      </c>
      <c r="K233" s="153"/>
      <c r="L233" s="154">
        <f t="shared" ref="L233:L234" si="709">IF((K233="x"),-20,0)</f>
        <v>0</v>
      </c>
      <c r="M233" s="153"/>
      <c r="N233" s="154">
        <f t="shared" ref="N233:N234" si="710">IF((M233="x"),-30,0)</f>
        <v>0</v>
      </c>
      <c r="O233" s="155">
        <f t="shared" si="680"/>
        <v>0</v>
      </c>
      <c r="P233" s="155">
        <f t="shared" si="681"/>
        <v>-5</v>
      </c>
      <c r="Q233" s="155">
        <f t="shared" si="682"/>
        <v>-20</v>
      </c>
      <c r="R233" s="153"/>
      <c r="S233" s="154">
        <f t="shared" ref="S233:S234" si="711">R233*10</f>
        <v>0</v>
      </c>
      <c r="T233" s="153"/>
      <c r="U233" s="154">
        <f t="shared" ref="U233:U234" si="712">T233*-15</f>
        <v>0</v>
      </c>
      <c r="V233" s="155">
        <f t="shared" ref="V233:V234" si="713">IF(AND(R233=2),10,IF(R233=3,30,IF(R233=4,50,IF(R233=5,70,0))))</f>
        <v>0</v>
      </c>
      <c r="W233" s="156">
        <f t="shared" ref="W233:W234" si="714">IF(G233="x",H233+J233+L233+N233+O233+P233+Q233+S233+U233+V233,0)</f>
        <v>0</v>
      </c>
    </row>
    <row r="234" spans="1:23" ht="10.5" hidden="1" customHeight="1" x14ac:dyDescent="0.2">
      <c r="A234" s="11"/>
      <c r="B234" s="150">
        <f>COUNTA(Spieltag!K221:AA221)</f>
        <v>0</v>
      </c>
      <c r="C234" s="166">
        <f>Spieltag!A221</f>
        <v>45</v>
      </c>
      <c r="D234" s="21" t="str">
        <f>Spieltag!B221</f>
        <v>Mehdi Loune</v>
      </c>
      <c r="E234" s="151" t="str">
        <f>Spieltag!C221</f>
        <v>Mittelfeld</v>
      </c>
      <c r="F234" s="152" t="s">
        <v>103</v>
      </c>
      <c r="G234" s="153"/>
      <c r="H234" s="154">
        <f t="shared" si="707"/>
        <v>0</v>
      </c>
      <c r="I234" s="153"/>
      <c r="J234" s="154">
        <f t="shared" si="708"/>
        <v>0</v>
      </c>
      <c r="K234" s="153"/>
      <c r="L234" s="154">
        <f t="shared" si="709"/>
        <v>0</v>
      </c>
      <c r="M234" s="153"/>
      <c r="N234" s="154">
        <f t="shared" si="710"/>
        <v>0</v>
      </c>
      <c r="O234" s="155">
        <f t="shared" si="680"/>
        <v>0</v>
      </c>
      <c r="P234" s="155">
        <f t="shared" si="681"/>
        <v>-5</v>
      </c>
      <c r="Q234" s="155">
        <f t="shared" si="682"/>
        <v>-20</v>
      </c>
      <c r="R234" s="153"/>
      <c r="S234" s="154">
        <f t="shared" si="711"/>
        <v>0</v>
      </c>
      <c r="T234" s="153"/>
      <c r="U234" s="154">
        <f t="shared" si="712"/>
        <v>0</v>
      </c>
      <c r="V234" s="155">
        <f t="shared" si="713"/>
        <v>0</v>
      </c>
      <c r="W234" s="156">
        <f t="shared" si="714"/>
        <v>0</v>
      </c>
    </row>
    <row r="235" spans="1:23" ht="10.5" hidden="1" customHeight="1" x14ac:dyDescent="0.2">
      <c r="A235" s="11"/>
      <c r="B235" s="150">
        <f>COUNTA(Spieltag!K222:AA222)</f>
        <v>0</v>
      </c>
      <c r="C235" s="166">
        <f>Spieltag!A222</f>
        <v>49</v>
      </c>
      <c r="D235" s="21" t="str">
        <f>Spieltag!B222</f>
        <v>Harpreet Ghotra</v>
      </c>
      <c r="E235" s="151" t="str">
        <f>Spieltag!C222</f>
        <v>Mittelfeld</v>
      </c>
      <c r="F235" s="152" t="s">
        <v>103</v>
      </c>
      <c r="G235" s="153"/>
      <c r="H235" s="154">
        <f t="shared" ref="H235" si="715">IF(G235="x",10,0)</f>
        <v>0</v>
      </c>
      <c r="I235" s="153"/>
      <c r="J235" s="154">
        <f t="shared" ref="J235" si="716">IF((I235="x"),-10,0)</f>
        <v>0</v>
      </c>
      <c r="K235" s="153"/>
      <c r="L235" s="154">
        <f t="shared" ref="L235" si="717">IF((K235="x"),-20,0)</f>
        <v>0</v>
      </c>
      <c r="M235" s="153"/>
      <c r="N235" s="154">
        <f t="shared" ref="N235" si="718">IF((M235="x"),-30,0)</f>
        <v>0</v>
      </c>
      <c r="O235" s="155">
        <f t="shared" si="680"/>
        <v>0</v>
      </c>
      <c r="P235" s="155">
        <f t="shared" si="681"/>
        <v>-5</v>
      </c>
      <c r="Q235" s="155">
        <f t="shared" si="682"/>
        <v>-20</v>
      </c>
      <c r="R235" s="153"/>
      <c r="S235" s="154">
        <f t="shared" ref="S235" si="719">R235*10</f>
        <v>0</v>
      </c>
      <c r="T235" s="153"/>
      <c r="U235" s="154">
        <f t="shared" ref="U235" si="720">T235*-15</f>
        <v>0</v>
      </c>
      <c r="V235" s="155">
        <f t="shared" ref="V235" si="721">IF(AND(R235=2),10,IF(R235=3,30,IF(R235=4,50,IF(R235=5,70,0))))</f>
        <v>0</v>
      </c>
      <c r="W235" s="156">
        <f t="shared" ref="W235" si="722">IF(G235="x",H235+J235+L235+N235+O235+P235+Q235+S235+U235+V235,0)</f>
        <v>0</v>
      </c>
    </row>
    <row r="236" spans="1:23" ht="10.5" hidden="1" customHeight="1" x14ac:dyDescent="0.2">
      <c r="A236" s="11"/>
      <c r="B236" s="150">
        <f>COUNTA(Spieltag!K223:AA223)</f>
        <v>0</v>
      </c>
      <c r="C236" s="166">
        <f>Spieltag!A223</f>
        <v>7</v>
      </c>
      <c r="D236" s="21" t="str">
        <f>Spieltag!B223</f>
        <v>Omar Marmoush (A)</v>
      </c>
      <c r="E236" s="151" t="str">
        <f>Spieltag!C223</f>
        <v>Sturm</v>
      </c>
      <c r="F236" s="152" t="s">
        <v>103</v>
      </c>
      <c r="G236" s="153"/>
      <c r="H236" s="154">
        <f t="shared" ref="H236:H237" si="723">IF(G236="x",10,0)</f>
        <v>0</v>
      </c>
      <c r="I236" s="153"/>
      <c r="J236" s="154">
        <f t="shared" ref="J236:J237" si="724">IF((I236="x"),-10,0)</f>
        <v>0</v>
      </c>
      <c r="K236" s="153"/>
      <c r="L236" s="154">
        <f t="shared" ref="L236:L237" si="725">IF((K236="x"),-20,0)</f>
        <v>0</v>
      </c>
      <c r="M236" s="153"/>
      <c r="N236" s="154">
        <f t="shared" ref="N236:N237" si="726">IF((M236="x"),-30,0)</f>
        <v>0</v>
      </c>
      <c r="O236" s="155">
        <f t="shared" ref="O236:O243" si="727">IF(AND($V$9&gt;$W$9),20,IF($V$9=$W$9,10,0))</f>
        <v>0</v>
      </c>
      <c r="P236" s="155">
        <f t="shared" ref="P236:P243" si="728">IF(($V$9&lt;&gt;0),$V$9*10,-5)</f>
        <v>-5</v>
      </c>
      <c r="Q236" s="155">
        <f t="shared" ref="Q236:Q243" si="729">IF(($W$9&lt;&gt;0),$W$9*-10,5)</f>
        <v>-20</v>
      </c>
      <c r="R236" s="153"/>
      <c r="S236" s="154">
        <f t="shared" ref="S236:S237" si="730">R236*10</f>
        <v>0</v>
      </c>
      <c r="T236" s="153"/>
      <c r="U236" s="154">
        <f t="shared" ref="U236:U237" si="731">T236*-15</f>
        <v>0</v>
      </c>
      <c r="V236" s="155">
        <f t="shared" ref="V236:V237" si="732">IF(AND(R236=2),10,IF(R236=3,30,IF(R236=4,50,IF(R236=5,70,0))))</f>
        <v>0</v>
      </c>
      <c r="W236" s="156">
        <f t="shared" ref="W236:W237" si="733">IF(G236="x",H236+J236+L236+N236+O236+P236+Q236+S236+U236+V236,0)</f>
        <v>0</v>
      </c>
    </row>
    <row r="237" spans="1:23" ht="10.5" customHeight="1" x14ac:dyDescent="0.2">
      <c r="A237" s="11"/>
      <c r="B237" s="150">
        <f>COUNTA(Spieltag!K224:AA224)</f>
        <v>3</v>
      </c>
      <c r="C237" s="166">
        <f>Spieltag!A224</f>
        <v>9</v>
      </c>
      <c r="D237" s="21" t="str">
        <f>Spieltag!B224</f>
        <v>Saša Kalajdžić (A)</v>
      </c>
      <c r="E237" s="151" t="str">
        <f>Spieltag!C224</f>
        <v>Sturm</v>
      </c>
      <c r="F237" s="152" t="s">
        <v>103</v>
      </c>
      <c r="G237" s="153" t="s">
        <v>675</v>
      </c>
      <c r="H237" s="154">
        <f t="shared" si="723"/>
        <v>10</v>
      </c>
      <c r="I237" s="153"/>
      <c r="J237" s="154">
        <f t="shared" si="724"/>
        <v>0</v>
      </c>
      <c r="K237" s="153"/>
      <c r="L237" s="154">
        <f t="shared" si="725"/>
        <v>0</v>
      </c>
      <c r="M237" s="153"/>
      <c r="N237" s="154">
        <f t="shared" si="726"/>
        <v>0</v>
      </c>
      <c r="O237" s="155">
        <f t="shared" si="727"/>
        <v>0</v>
      </c>
      <c r="P237" s="155">
        <f t="shared" si="728"/>
        <v>-5</v>
      </c>
      <c r="Q237" s="155">
        <f t="shared" si="729"/>
        <v>-20</v>
      </c>
      <c r="R237" s="153"/>
      <c r="S237" s="154">
        <f t="shared" si="730"/>
        <v>0</v>
      </c>
      <c r="T237" s="153"/>
      <c r="U237" s="154">
        <f t="shared" si="731"/>
        <v>0</v>
      </c>
      <c r="V237" s="155">
        <f t="shared" si="732"/>
        <v>0</v>
      </c>
      <c r="W237" s="156">
        <f t="shared" si="733"/>
        <v>-15</v>
      </c>
    </row>
    <row r="238" spans="1:23" ht="10.5" hidden="1" customHeight="1" x14ac:dyDescent="0.2">
      <c r="A238" s="11"/>
      <c r="B238" s="150">
        <f>COUNTA(Spieltag!K225:AA225)</f>
        <v>0</v>
      </c>
      <c r="C238" s="166">
        <f>Spieltag!A225</f>
        <v>18</v>
      </c>
      <c r="D238" s="21" t="str">
        <f>Spieltag!B225</f>
        <v>Jessic Ngankam</v>
      </c>
      <c r="E238" s="151" t="str">
        <f>Spieltag!C225</f>
        <v>Sturm</v>
      </c>
      <c r="F238" s="152" t="s">
        <v>103</v>
      </c>
      <c r="G238" s="153"/>
      <c r="H238" s="154">
        <f t="shared" ref="H238:H240" si="734">IF(G238="x",10,0)</f>
        <v>0</v>
      </c>
      <c r="I238" s="153"/>
      <c r="J238" s="154">
        <f t="shared" ref="J238:J240" si="735">IF((I238="x"),-10,0)</f>
        <v>0</v>
      </c>
      <c r="K238" s="153"/>
      <c r="L238" s="154">
        <f t="shared" ref="L238:L240" si="736">IF((K238="x"),-20,0)</f>
        <v>0</v>
      </c>
      <c r="M238" s="153"/>
      <c r="N238" s="154">
        <f t="shared" ref="N238:N240" si="737">IF((M238="x"),-30,0)</f>
        <v>0</v>
      </c>
      <c r="O238" s="155">
        <f t="shared" si="727"/>
        <v>0</v>
      </c>
      <c r="P238" s="155">
        <f t="shared" si="728"/>
        <v>-5</v>
      </c>
      <c r="Q238" s="155">
        <f t="shared" si="729"/>
        <v>-20</v>
      </c>
      <c r="R238" s="153"/>
      <c r="S238" s="154">
        <f t="shared" ref="S238:S240" si="738">R238*10</f>
        <v>0</v>
      </c>
      <c r="T238" s="153"/>
      <c r="U238" s="154">
        <f t="shared" ref="U238:U240" si="739">T238*-15</f>
        <v>0</v>
      </c>
      <c r="V238" s="155">
        <f t="shared" ref="V238:V240" si="740">IF(AND(R238=2),10,IF(R238=3,30,IF(R238=4,50,IF(R238=5,70,0))))</f>
        <v>0</v>
      </c>
      <c r="W238" s="156">
        <f t="shared" ref="W238:W240" si="741">IF(G238="x",H238+J238+L238+N238+O238+P238+Q238+S238+U238+V238,0)</f>
        <v>0</v>
      </c>
    </row>
    <row r="239" spans="1:23" ht="10.5" hidden="1" customHeight="1" x14ac:dyDescent="0.2">
      <c r="A239" s="11"/>
      <c r="B239" s="150">
        <f>COUNTA(Spieltag!K226:AA226)</f>
        <v>0</v>
      </c>
      <c r="C239" s="166">
        <f>Spieltag!A226</f>
        <v>19</v>
      </c>
      <c r="D239" s="21" t="str">
        <f>Spieltag!B226</f>
        <v>Jean-Matteo Bahoya (A)</v>
      </c>
      <c r="E239" s="151" t="str">
        <f>Spieltag!C226</f>
        <v>Sturm</v>
      </c>
      <c r="F239" s="152" t="s">
        <v>103</v>
      </c>
      <c r="G239" s="153"/>
      <c r="H239" s="154">
        <f t="shared" ref="H239" si="742">IF(G239="x",10,0)</f>
        <v>0</v>
      </c>
      <c r="I239" s="153"/>
      <c r="J239" s="154">
        <f t="shared" ref="J239" si="743">IF((I239="x"),-10,0)</f>
        <v>0</v>
      </c>
      <c r="K239" s="153"/>
      <c r="L239" s="154">
        <f t="shared" ref="L239" si="744">IF((K239="x"),-20,0)</f>
        <v>0</v>
      </c>
      <c r="M239" s="153"/>
      <c r="N239" s="154">
        <f t="shared" ref="N239" si="745">IF((M239="x"),-30,0)</f>
        <v>0</v>
      </c>
      <c r="O239" s="155">
        <f t="shared" si="727"/>
        <v>0</v>
      </c>
      <c r="P239" s="155">
        <f t="shared" si="728"/>
        <v>-5</v>
      </c>
      <c r="Q239" s="155">
        <f t="shared" si="729"/>
        <v>-20</v>
      </c>
      <c r="R239" s="153"/>
      <c r="S239" s="154">
        <f t="shared" ref="S239" si="746">R239*10</f>
        <v>0</v>
      </c>
      <c r="T239" s="153"/>
      <c r="U239" s="154">
        <f t="shared" ref="U239" si="747">T239*-15</f>
        <v>0</v>
      </c>
      <c r="V239" s="155">
        <f t="shared" ref="V239" si="748">IF(AND(R239=2),10,IF(R239=3,30,IF(R239=4,50,IF(R239=5,70,0))))</f>
        <v>0</v>
      </c>
      <c r="W239" s="156">
        <f t="shared" ref="W239" si="749">IF(G239="x",H239+J239+L239+N239+O239+P239+Q239+S239+U239+V239,0)</f>
        <v>0</v>
      </c>
    </row>
    <row r="240" spans="1:23" ht="10.5" hidden="1" customHeight="1" x14ac:dyDescent="0.2">
      <c r="A240" s="11"/>
      <c r="B240" s="150">
        <f>COUNTA(Spieltag!K227:AA227)</f>
        <v>0</v>
      </c>
      <c r="C240" s="166">
        <f>Spieltag!A227</f>
        <v>23</v>
      </c>
      <c r="D240" s="21" t="str">
        <f>Spieltag!B227</f>
        <v>Jens Petter Hauge</v>
      </c>
      <c r="E240" s="151" t="str">
        <f>Spieltag!C227</f>
        <v>Sturm</v>
      </c>
      <c r="F240" s="152" t="s">
        <v>103</v>
      </c>
      <c r="G240" s="153"/>
      <c r="H240" s="154">
        <f t="shared" si="734"/>
        <v>0</v>
      </c>
      <c r="I240" s="153"/>
      <c r="J240" s="154">
        <f t="shared" si="735"/>
        <v>0</v>
      </c>
      <c r="K240" s="153"/>
      <c r="L240" s="154">
        <f t="shared" si="736"/>
        <v>0</v>
      </c>
      <c r="M240" s="153"/>
      <c r="N240" s="154">
        <f t="shared" si="737"/>
        <v>0</v>
      </c>
      <c r="O240" s="155">
        <f t="shared" si="727"/>
        <v>0</v>
      </c>
      <c r="P240" s="155">
        <f t="shared" si="728"/>
        <v>-5</v>
      </c>
      <c r="Q240" s="155">
        <f t="shared" si="729"/>
        <v>-20</v>
      </c>
      <c r="R240" s="153"/>
      <c r="S240" s="154">
        <f t="shared" si="738"/>
        <v>0</v>
      </c>
      <c r="T240" s="153"/>
      <c r="U240" s="154">
        <f t="shared" si="739"/>
        <v>0</v>
      </c>
      <c r="V240" s="155">
        <f t="shared" si="740"/>
        <v>0</v>
      </c>
      <c r="W240" s="156">
        <f t="shared" si="741"/>
        <v>0</v>
      </c>
    </row>
    <row r="241" spans="1:23" ht="10.5" customHeight="1" x14ac:dyDescent="0.2">
      <c r="A241" s="11"/>
      <c r="B241" s="150">
        <f>COUNTA(Spieltag!K228:AA228)</f>
        <v>2</v>
      </c>
      <c r="C241" s="166">
        <f>Spieltag!A228</f>
        <v>36</v>
      </c>
      <c r="D241" s="21" t="str">
        <f>Spieltag!B228</f>
        <v>Ansgar Knauff</v>
      </c>
      <c r="E241" s="151" t="str">
        <f>Spieltag!C228</f>
        <v>Sturm</v>
      </c>
      <c r="F241" s="152" t="s">
        <v>103</v>
      </c>
      <c r="G241" s="153" t="s">
        <v>675</v>
      </c>
      <c r="H241" s="154">
        <f t="shared" ref="H241:H243" si="750">IF(G241="x",10,0)</f>
        <v>10</v>
      </c>
      <c r="I241" s="153"/>
      <c r="J241" s="154">
        <f t="shared" ref="J241:J243" si="751">IF((I241="x"),-10,0)</f>
        <v>0</v>
      </c>
      <c r="K241" s="153"/>
      <c r="L241" s="154">
        <f t="shared" ref="L241:L243" si="752">IF((K241="x"),-20,0)</f>
        <v>0</v>
      </c>
      <c r="M241" s="153"/>
      <c r="N241" s="154">
        <f t="shared" ref="N241:N243" si="753">IF((M241="x"),-30,0)</f>
        <v>0</v>
      </c>
      <c r="O241" s="155">
        <f t="shared" si="727"/>
        <v>0</v>
      </c>
      <c r="P241" s="155">
        <f t="shared" si="728"/>
        <v>-5</v>
      </c>
      <c r="Q241" s="155">
        <f t="shared" si="729"/>
        <v>-20</v>
      </c>
      <c r="R241" s="153"/>
      <c r="S241" s="154">
        <f t="shared" ref="S241:S243" si="754">R241*10</f>
        <v>0</v>
      </c>
      <c r="T241" s="153"/>
      <c r="U241" s="154">
        <f t="shared" ref="U241:U243" si="755">T241*-15</f>
        <v>0</v>
      </c>
      <c r="V241" s="155">
        <f t="shared" ref="V241:V243" si="756">IF(AND(R241=2),10,IF(R241=3,30,IF(R241=4,50,IF(R241=5,70,0))))</f>
        <v>0</v>
      </c>
      <c r="W241" s="156">
        <f t="shared" ref="W241:W243" si="757">IF(G241="x",H241+J241+L241+N241+O241+P241+Q241+S241+U241+V241,0)</f>
        <v>-15</v>
      </c>
    </row>
    <row r="242" spans="1:23" ht="10.5" hidden="1" customHeight="1" x14ac:dyDescent="0.2">
      <c r="A242" s="11"/>
      <c r="B242" s="150">
        <f>COUNTA(Spieltag!K229:AA229)</f>
        <v>0</v>
      </c>
      <c r="C242" s="166">
        <f>Spieltag!A229</f>
        <v>43</v>
      </c>
      <c r="D242" s="21" t="str">
        <f>Spieltag!B229</f>
        <v>Noel Futkeu</v>
      </c>
      <c r="E242" s="151" t="str">
        <f>Spieltag!C229</f>
        <v>Sturm</v>
      </c>
      <c r="F242" s="152" t="s">
        <v>103</v>
      </c>
      <c r="G242" s="153"/>
      <c r="H242" s="154">
        <f t="shared" ref="H242" si="758">IF(G242="x",10,0)</f>
        <v>0</v>
      </c>
      <c r="I242" s="153"/>
      <c r="J242" s="154">
        <f t="shared" ref="J242" si="759">IF((I242="x"),-10,0)</f>
        <v>0</v>
      </c>
      <c r="K242" s="153"/>
      <c r="L242" s="154">
        <f t="shared" ref="L242" si="760">IF((K242="x"),-20,0)</f>
        <v>0</v>
      </c>
      <c r="M242" s="153"/>
      <c r="N242" s="154">
        <f t="shared" ref="N242" si="761">IF((M242="x"),-30,0)</f>
        <v>0</v>
      </c>
      <c r="O242" s="155">
        <f t="shared" si="727"/>
        <v>0</v>
      </c>
      <c r="P242" s="155">
        <f t="shared" si="728"/>
        <v>-5</v>
      </c>
      <c r="Q242" s="155">
        <f t="shared" si="729"/>
        <v>-20</v>
      </c>
      <c r="R242" s="153"/>
      <c r="S242" s="154">
        <f t="shared" ref="S242" si="762">R242*10</f>
        <v>0</v>
      </c>
      <c r="T242" s="153"/>
      <c r="U242" s="154">
        <f t="shared" ref="U242" si="763">T242*-15</f>
        <v>0</v>
      </c>
      <c r="V242" s="155">
        <f t="shared" ref="V242" si="764">IF(AND(R242=2),10,IF(R242=3,30,IF(R242=4,50,IF(R242=5,70,0))))</f>
        <v>0</v>
      </c>
      <c r="W242" s="156">
        <f t="shared" ref="W242" si="765">IF(G242="x",H242+J242+L242+N242+O242+P242+Q242+S242+U242+V242,0)</f>
        <v>0</v>
      </c>
    </row>
    <row r="243" spans="1:23" ht="10.5" hidden="1" customHeight="1" x14ac:dyDescent="0.2">
      <c r="A243" s="11"/>
      <c r="B243" s="150">
        <f>COUNTA(Spieltag!K230:AA230)</f>
        <v>0</v>
      </c>
      <c r="C243" s="166">
        <f>Spieltag!A230</f>
        <v>48</v>
      </c>
      <c r="D243" s="21" t="str">
        <f>Spieltag!B230</f>
        <v>Nacho Ferri (A)</v>
      </c>
      <c r="E243" s="151" t="str">
        <f>Spieltag!C230</f>
        <v>Sturm</v>
      </c>
      <c r="F243" s="152" t="s">
        <v>103</v>
      </c>
      <c r="G243" s="153"/>
      <c r="H243" s="154">
        <f t="shared" si="750"/>
        <v>0</v>
      </c>
      <c r="I243" s="153"/>
      <c r="J243" s="154">
        <f t="shared" si="751"/>
        <v>0</v>
      </c>
      <c r="K243" s="153"/>
      <c r="L243" s="154">
        <f t="shared" si="752"/>
        <v>0</v>
      </c>
      <c r="M243" s="153"/>
      <c r="N243" s="154">
        <f t="shared" si="753"/>
        <v>0</v>
      </c>
      <c r="O243" s="155">
        <f t="shared" si="727"/>
        <v>0</v>
      </c>
      <c r="P243" s="155">
        <f t="shared" si="728"/>
        <v>-5</v>
      </c>
      <c r="Q243" s="155">
        <f t="shared" si="729"/>
        <v>-20</v>
      </c>
      <c r="R243" s="153"/>
      <c r="S243" s="154">
        <f t="shared" si="754"/>
        <v>0</v>
      </c>
      <c r="T243" s="153"/>
      <c r="U243" s="154">
        <f t="shared" si="755"/>
        <v>0</v>
      </c>
      <c r="V243" s="155">
        <f t="shared" si="756"/>
        <v>0</v>
      </c>
      <c r="W243" s="156">
        <f t="shared" si="757"/>
        <v>0</v>
      </c>
    </row>
    <row r="244" spans="1:23" s="144" customFormat="1" ht="17.25" thickBot="1" x14ac:dyDescent="0.25">
      <c r="A244" s="142"/>
      <c r="B244" s="143">
        <f>SUM(B245:B271)</f>
        <v>4</v>
      </c>
      <c r="C244" s="158"/>
      <c r="D244" s="234" t="s">
        <v>31</v>
      </c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  <c r="S244" s="234"/>
      <c r="T244" s="234"/>
      <c r="U244" s="234"/>
      <c r="V244" s="234"/>
      <c r="W244" s="235"/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1</v>
      </c>
      <c r="D245" s="21" t="str">
        <f>Spieltag!B232</f>
        <v>Koen Casteels (A)</v>
      </c>
      <c r="E245" s="12" t="str">
        <f>Spieltag!C232</f>
        <v>Torwart</v>
      </c>
      <c r="F245" s="13" t="s">
        <v>55</v>
      </c>
      <c r="G245" s="14"/>
      <c r="H245" s="15">
        <f>IF(G245="x",10,0)</f>
        <v>0</v>
      </c>
      <c r="I245" s="14"/>
      <c r="J245" s="15">
        <f>IF((I245="x"),-10,0)</f>
        <v>0</v>
      </c>
      <c r="K245" s="14"/>
      <c r="L245" s="15">
        <f>IF((K245="x"),-20,0)</f>
        <v>0</v>
      </c>
      <c r="M245" s="14"/>
      <c r="N245" s="15">
        <f>IF((M245="x"),-30,0)</f>
        <v>0</v>
      </c>
      <c r="O245" s="16">
        <f t="shared" ref="O245:O266" si="766">IF(AND($P$11&gt;$Q$11),20,IF($P$11=$Q$11,10,0))</f>
        <v>10</v>
      </c>
      <c r="P245" s="16">
        <f t="shared" ref="P245:P266" si="767">IF(($P$11&lt;&gt;0),$P$11*10,-5)</f>
        <v>20</v>
      </c>
      <c r="Q245" s="16">
        <f>IF(($Q$11&lt;&gt;0),$Q$11*-10,20)</f>
        <v>-20</v>
      </c>
      <c r="R245" s="14"/>
      <c r="S245" s="15">
        <f>R245*20</f>
        <v>0</v>
      </c>
      <c r="T245" s="14"/>
      <c r="U245" s="15">
        <f>T245*-15</f>
        <v>0</v>
      </c>
      <c r="V245" s="16">
        <f>IF(AND(R245=2),10,IF(R245=3,30,IF(R245=4,50,IF(R245=5,70,0))))</f>
        <v>0</v>
      </c>
      <c r="W245" s="17">
        <f>IF(G245="x",H245+J245+L245+N245+O245+P245+Q245+S245+U245+V245,0)</f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12</v>
      </c>
      <c r="D246" s="21" t="str">
        <f>Spieltag!B233</f>
        <v>Pavao Pervan (A)</v>
      </c>
      <c r="E246" s="12" t="str">
        <f>Spieltag!C233</f>
        <v>Torwart</v>
      </c>
      <c r="F246" s="13" t="s">
        <v>55</v>
      </c>
      <c r="G246" s="14"/>
      <c r="H246" s="15">
        <f t="shared" ref="H246:H247" si="768">IF(G246="x",10,0)</f>
        <v>0</v>
      </c>
      <c r="I246" s="14"/>
      <c r="J246" s="15">
        <f t="shared" ref="J246:J247" si="769">IF((I246="x"),-10,0)</f>
        <v>0</v>
      </c>
      <c r="K246" s="14"/>
      <c r="L246" s="15">
        <f t="shared" ref="L246:L247" si="770">IF((K246="x"),-20,0)</f>
        <v>0</v>
      </c>
      <c r="M246" s="14"/>
      <c r="N246" s="15">
        <f t="shared" ref="N246:N247" si="771">IF((M246="x"),-30,0)</f>
        <v>0</v>
      </c>
      <c r="O246" s="16">
        <f t="shared" si="766"/>
        <v>10</v>
      </c>
      <c r="P246" s="16">
        <f t="shared" si="767"/>
        <v>20</v>
      </c>
      <c r="Q246" s="16">
        <f t="shared" ref="Q246:Q247" si="772">IF(($Q$11&lt;&gt;0),$Q$11*-10,20)</f>
        <v>-20</v>
      </c>
      <c r="R246" s="14"/>
      <c r="S246" s="15">
        <f t="shared" ref="S246:S247" si="773">R246*20</f>
        <v>0</v>
      </c>
      <c r="T246" s="14"/>
      <c r="U246" s="15">
        <f t="shared" ref="U246:U247" si="774">T246*-15</f>
        <v>0</v>
      </c>
      <c r="V246" s="16">
        <f t="shared" ref="V246:V247" si="775">IF(AND(R246=2),10,IF(R246=3,30,IF(R246=4,50,IF(R246=5,70,0))))</f>
        <v>0</v>
      </c>
      <c r="W246" s="17">
        <f t="shared" ref="W246:W247" si="776">IF(G246="x",H246+J246+L246+N246+O246+P246+Q246+S246+U246+V246,0)</f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30</v>
      </c>
      <c r="D247" s="21" t="str">
        <f>Spieltag!B234</f>
        <v>Niklas Klinger</v>
      </c>
      <c r="E247" s="12" t="str">
        <f>Spieltag!C234</f>
        <v>Torwart</v>
      </c>
      <c r="F247" s="13" t="s">
        <v>55</v>
      </c>
      <c r="G247" s="14"/>
      <c r="H247" s="15">
        <f t="shared" si="768"/>
        <v>0</v>
      </c>
      <c r="I247" s="14"/>
      <c r="J247" s="15">
        <f t="shared" si="769"/>
        <v>0</v>
      </c>
      <c r="K247" s="14"/>
      <c r="L247" s="15">
        <f t="shared" si="770"/>
        <v>0</v>
      </c>
      <c r="M247" s="14"/>
      <c r="N247" s="15">
        <f t="shared" si="771"/>
        <v>0</v>
      </c>
      <c r="O247" s="16">
        <f t="shared" si="766"/>
        <v>10</v>
      </c>
      <c r="P247" s="16">
        <f t="shared" si="767"/>
        <v>20</v>
      </c>
      <c r="Q247" s="16">
        <f t="shared" si="772"/>
        <v>-20</v>
      </c>
      <c r="R247" s="14"/>
      <c r="S247" s="15">
        <f t="shared" si="773"/>
        <v>0</v>
      </c>
      <c r="T247" s="14"/>
      <c r="U247" s="15">
        <f t="shared" si="774"/>
        <v>0</v>
      </c>
      <c r="V247" s="16">
        <f t="shared" si="775"/>
        <v>0</v>
      </c>
      <c r="W247" s="17">
        <f t="shared" si="776"/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2</v>
      </c>
      <c r="D248" s="21" t="str">
        <f>Spieltag!B235</f>
        <v>Kilian Fischer</v>
      </c>
      <c r="E248" s="12" t="str">
        <f>Spieltag!C235</f>
        <v>Abwehr</v>
      </c>
      <c r="F248" s="13" t="s">
        <v>55</v>
      </c>
      <c r="G248" s="14"/>
      <c r="H248" s="15">
        <f t="shared" ref="H248" si="777">IF(G248="x",10,0)</f>
        <v>0</v>
      </c>
      <c r="I248" s="14"/>
      <c r="J248" s="15">
        <f t="shared" ref="J248" si="778">IF((I248="x"),-10,0)</f>
        <v>0</v>
      </c>
      <c r="K248" s="14"/>
      <c r="L248" s="15">
        <f t="shared" ref="L248" si="779">IF((K248="x"),-20,0)</f>
        <v>0</v>
      </c>
      <c r="M248" s="14"/>
      <c r="N248" s="15">
        <f t="shared" ref="N248" si="780">IF((M248="x"),-30,0)</f>
        <v>0</v>
      </c>
      <c r="O248" s="16">
        <f t="shared" si="766"/>
        <v>10</v>
      </c>
      <c r="P248" s="16">
        <f t="shared" si="767"/>
        <v>20</v>
      </c>
      <c r="Q248" s="16">
        <f t="shared" ref="Q248:Q255" si="781">IF(($Q$11&lt;&gt;0),$Q$11*-10,15)</f>
        <v>-20</v>
      </c>
      <c r="R248" s="14"/>
      <c r="S248" s="15">
        <f t="shared" ref="S248" si="782">R248*15</f>
        <v>0</v>
      </c>
      <c r="T248" s="14"/>
      <c r="U248" s="15">
        <f t="shared" ref="U248" si="783">T248*-15</f>
        <v>0</v>
      </c>
      <c r="V248" s="16">
        <f t="shared" ref="V248" si="784">IF(AND(R248=2),10,IF(R248=3,30,IF(R248=4,50,IF(R248=5,70,0))))</f>
        <v>0</v>
      </c>
      <c r="W248" s="17">
        <f t="shared" ref="W248" si="785">IF(G248="x",H248+J248+L248+N248+O248+P248+Q248+S248+U248+V248,0)</f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3</v>
      </c>
      <c r="D249" s="21" t="str">
        <f>Spieltag!B236</f>
        <v>Sebastiaan Bornauw (A)</v>
      </c>
      <c r="E249" s="12" t="str">
        <f>Spieltag!C236</f>
        <v>Abwehr</v>
      </c>
      <c r="F249" s="13" t="s">
        <v>55</v>
      </c>
      <c r="G249" s="14"/>
      <c r="H249" s="15">
        <f t="shared" ref="H249:H255" si="786">IF(G249="x",10,0)</f>
        <v>0</v>
      </c>
      <c r="I249" s="14"/>
      <c r="J249" s="15">
        <f t="shared" ref="J249:J255" si="787">IF((I249="x"),-10,0)</f>
        <v>0</v>
      </c>
      <c r="K249" s="14"/>
      <c r="L249" s="15">
        <f t="shared" ref="L249:L255" si="788">IF((K249="x"),-20,0)</f>
        <v>0</v>
      </c>
      <c r="M249" s="14"/>
      <c r="N249" s="15">
        <f t="shared" ref="N249:N255" si="789">IF((M249="x"),-30,0)</f>
        <v>0</v>
      </c>
      <c r="O249" s="16">
        <f t="shared" si="766"/>
        <v>10</v>
      </c>
      <c r="P249" s="16">
        <f t="shared" si="767"/>
        <v>20</v>
      </c>
      <c r="Q249" s="16">
        <f t="shared" si="781"/>
        <v>-20</v>
      </c>
      <c r="R249" s="14"/>
      <c r="S249" s="15">
        <f t="shared" ref="S249:S255" si="790">R249*15</f>
        <v>0</v>
      </c>
      <c r="T249" s="14"/>
      <c r="U249" s="15">
        <f t="shared" ref="U249:U255" si="791">T249*-15</f>
        <v>0</v>
      </c>
      <c r="V249" s="16">
        <f t="shared" ref="V249:V255" si="792">IF(AND(R249=2),10,IF(R249=3,30,IF(R249=4,50,IF(R249=5,70,0))))</f>
        <v>0</v>
      </c>
      <c r="W249" s="17">
        <f t="shared" ref="W249:W255" si="793">IF(G249="x",H249+J249+L249+N249+O249+P249+Q249+S249+U249+V249,0)</f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4</v>
      </c>
      <c r="D250" s="21" t="str">
        <f>Spieltag!B237</f>
        <v>Maxence Lacroix (A)</v>
      </c>
      <c r="E250" s="12" t="str">
        <f>Spieltag!C237</f>
        <v>Abwehr</v>
      </c>
      <c r="F250" s="13" t="s">
        <v>55</v>
      </c>
      <c r="G250" s="14"/>
      <c r="H250" s="15">
        <f t="shared" si="786"/>
        <v>0</v>
      </c>
      <c r="I250" s="14"/>
      <c r="J250" s="15">
        <f t="shared" si="787"/>
        <v>0</v>
      </c>
      <c r="K250" s="14"/>
      <c r="L250" s="15">
        <f t="shared" si="788"/>
        <v>0</v>
      </c>
      <c r="M250" s="14"/>
      <c r="N250" s="15">
        <f t="shared" si="789"/>
        <v>0</v>
      </c>
      <c r="O250" s="16">
        <f t="shared" si="766"/>
        <v>10</v>
      </c>
      <c r="P250" s="16">
        <f t="shared" si="767"/>
        <v>20</v>
      </c>
      <c r="Q250" s="16">
        <f t="shared" si="781"/>
        <v>-20</v>
      </c>
      <c r="R250" s="14"/>
      <c r="S250" s="15">
        <f t="shared" si="790"/>
        <v>0</v>
      </c>
      <c r="T250" s="14"/>
      <c r="U250" s="15">
        <f t="shared" si="791"/>
        <v>0</v>
      </c>
      <c r="V250" s="16">
        <f t="shared" si="792"/>
        <v>0</v>
      </c>
      <c r="W250" s="17">
        <f t="shared" si="793"/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5</v>
      </c>
      <c r="D251" s="21" t="str">
        <f>Spieltag!B238</f>
        <v>Cédric Zesiger (A)</v>
      </c>
      <c r="E251" s="12" t="str">
        <f>Spieltag!C238</f>
        <v>Abwehr</v>
      </c>
      <c r="F251" s="13" t="s">
        <v>55</v>
      </c>
      <c r="G251" s="14"/>
      <c r="H251" s="15">
        <f>IF(G251="x",10,0)</f>
        <v>0</v>
      </c>
      <c r="I251" s="14"/>
      <c r="J251" s="15">
        <f>IF((I251="x"),-10,0)</f>
        <v>0</v>
      </c>
      <c r="K251" s="14"/>
      <c r="L251" s="15">
        <f>IF((K251="x"),-20,0)</f>
        <v>0</v>
      </c>
      <c r="M251" s="14"/>
      <c r="N251" s="15">
        <f>IF((M251="x"),-30,0)</f>
        <v>0</v>
      </c>
      <c r="O251" s="16">
        <f t="shared" si="766"/>
        <v>10</v>
      </c>
      <c r="P251" s="16">
        <f t="shared" si="767"/>
        <v>20</v>
      </c>
      <c r="Q251" s="16">
        <f t="shared" si="781"/>
        <v>-20</v>
      </c>
      <c r="R251" s="14"/>
      <c r="S251" s="15">
        <f>R251*15</f>
        <v>0</v>
      </c>
      <c r="T251" s="14"/>
      <c r="U251" s="15">
        <f>T251*-15</f>
        <v>0</v>
      </c>
      <c r="V251" s="16">
        <f>IF(AND(R251=2),10,IF(R251=3,30,IF(R251=4,50,IF(R251=5,70,0))))</f>
        <v>0</v>
      </c>
      <c r="W251" s="17">
        <f>IF(G251="x",H251+J251+L251+N251+O251+P251+Q251+S251+U251+V251,0)</f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8</v>
      </c>
      <c r="D252" s="21" t="str">
        <f>Spieltag!B239</f>
        <v>Nicolas Cozza (A)</v>
      </c>
      <c r="E252" s="12" t="str">
        <f>Spieltag!C239</f>
        <v>Abwehr</v>
      </c>
      <c r="F252" s="13" t="s">
        <v>55</v>
      </c>
      <c r="G252" s="14"/>
      <c r="H252" s="15">
        <f t="shared" si="786"/>
        <v>0</v>
      </c>
      <c r="I252" s="14"/>
      <c r="J252" s="15">
        <f t="shared" si="787"/>
        <v>0</v>
      </c>
      <c r="K252" s="14"/>
      <c r="L252" s="15">
        <f t="shared" si="788"/>
        <v>0</v>
      </c>
      <c r="M252" s="14"/>
      <c r="N252" s="15">
        <f t="shared" si="789"/>
        <v>0</v>
      </c>
      <c r="O252" s="16">
        <f t="shared" si="766"/>
        <v>10</v>
      </c>
      <c r="P252" s="16">
        <f t="shared" si="767"/>
        <v>20</v>
      </c>
      <c r="Q252" s="16">
        <f t="shared" si="781"/>
        <v>-20</v>
      </c>
      <c r="R252" s="14"/>
      <c r="S252" s="15">
        <f t="shared" si="790"/>
        <v>0</v>
      </c>
      <c r="T252" s="14"/>
      <c r="U252" s="15">
        <f t="shared" si="791"/>
        <v>0</v>
      </c>
      <c r="V252" s="16">
        <f t="shared" si="792"/>
        <v>0</v>
      </c>
      <c r="W252" s="17">
        <f t="shared" si="793"/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13</v>
      </c>
      <c r="D253" s="21" t="str">
        <f>Spieltag!B240</f>
        <v>Rogério (A)</v>
      </c>
      <c r="E253" s="12" t="str">
        <f>Spieltag!C240</f>
        <v>Abwehr</v>
      </c>
      <c r="F253" s="13" t="s">
        <v>55</v>
      </c>
      <c r="G253" s="14"/>
      <c r="H253" s="15">
        <f t="shared" si="786"/>
        <v>0</v>
      </c>
      <c r="I253" s="14"/>
      <c r="J253" s="15">
        <f t="shared" si="787"/>
        <v>0</v>
      </c>
      <c r="K253" s="14"/>
      <c r="L253" s="15">
        <f t="shared" si="788"/>
        <v>0</v>
      </c>
      <c r="M253" s="14"/>
      <c r="N253" s="15">
        <f t="shared" si="789"/>
        <v>0</v>
      </c>
      <c r="O253" s="16">
        <f t="shared" si="766"/>
        <v>10</v>
      </c>
      <c r="P253" s="16">
        <f t="shared" si="767"/>
        <v>20</v>
      </c>
      <c r="Q253" s="16">
        <f t="shared" si="781"/>
        <v>-20</v>
      </c>
      <c r="R253" s="14"/>
      <c r="S253" s="15">
        <f t="shared" si="790"/>
        <v>0</v>
      </c>
      <c r="T253" s="14"/>
      <c r="U253" s="15">
        <f t="shared" si="791"/>
        <v>0</v>
      </c>
      <c r="V253" s="16">
        <f t="shared" si="792"/>
        <v>0</v>
      </c>
      <c r="W253" s="17">
        <f t="shared" si="793"/>
        <v>0</v>
      </c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21</v>
      </c>
      <c r="D254" s="21" t="str">
        <f>Spieltag!B241</f>
        <v>Joakim Maehle (A)</v>
      </c>
      <c r="E254" s="12" t="str">
        <f>Spieltag!C241</f>
        <v>Abwehr</v>
      </c>
      <c r="F254" s="13" t="s">
        <v>55</v>
      </c>
      <c r="G254" s="14"/>
      <c r="H254" s="15">
        <f t="shared" ref="H254" si="794">IF(G254="x",10,0)</f>
        <v>0</v>
      </c>
      <c r="I254" s="14"/>
      <c r="J254" s="15">
        <f t="shared" ref="J254" si="795">IF((I254="x"),-10,0)</f>
        <v>0</v>
      </c>
      <c r="K254" s="14"/>
      <c r="L254" s="15">
        <f t="shared" ref="L254" si="796">IF((K254="x"),-20,0)</f>
        <v>0</v>
      </c>
      <c r="M254" s="14"/>
      <c r="N254" s="15">
        <f t="shared" ref="N254" si="797">IF((M254="x"),-30,0)</f>
        <v>0</v>
      </c>
      <c r="O254" s="16">
        <f t="shared" si="766"/>
        <v>10</v>
      </c>
      <c r="P254" s="16">
        <f t="shared" si="767"/>
        <v>20</v>
      </c>
      <c r="Q254" s="16">
        <f t="shared" si="781"/>
        <v>-20</v>
      </c>
      <c r="R254" s="14"/>
      <c r="S254" s="15">
        <f t="shared" ref="S254" si="798">R254*15</f>
        <v>0</v>
      </c>
      <c r="T254" s="14"/>
      <c r="U254" s="15">
        <f t="shared" ref="U254" si="799">T254*-15</f>
        <v>0</v>
      </c>
      <c r="V254" s="16">
        <f t="shared" ref="V254" si="800">IF(AND(R254=2),10,IF(R254=3,30,IF(R254=4,50,IF(R254=5,70,0))))</f>
        <v>0</v>
      </c>
      <c r="W254" s="17">
        <f t="shared" ref="W254" si="801">IF(G254="x",H254+J254+L254+N254+O254+P254+Q254+S254+U254+V254,0)</f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25</v>
      </c>
      <c r="D255" s="21" t="str">
        <f>Spieltag!B242</f>
        <v>Moritz Jenz (A)</v>
      </c>
      <c r="E255" s="12" t="str">
        <f>Spieltag!C242</f>
        <v>Abwehr</v>
      </c>
      <c r="F255" s="13" t="s">
        <v>55</v>
      </c>
      <c r="G255" s="14"/>
      <c r="H255" s="15">
        <f t="shared" si="786"/>
        <v>0</v>
      </c>
      <c r="I255" s="14"/>
      <c r="J255" s="15">
        <f t="shared" si="787"/>
        <v>0</v>
      </c>
      <c r="K255" s="14"/>
      <c r="L255" s="15">
        <f t="shared" si="788"/>
        <v>0</v>
      </c>
      <c r="M255" s="14"/>
      <c r="N255" s="15">
        <f t="shared" si="789"/>
        <v>0</v>
      </c>
      <c r="O255" s="16">
        <f t="shared" si="766"/>
        <v>10</v>
      </c>
      <c r="P255" s="16">
        <f t="shared" si="767"/>
        <v>20</v>
      </c>
      <c r="Q255" s="16">
        <f t="shared" si="781"/>
        <v>-20</v>
      </c>
      <c r="R255" s="14"/>
      <c r="S255" s="15">
        <f t="shared" si="790"/>
        <v>0</v>
      </c>
      <c r="T255" s="14"/>
      <c r="U255" s="15">
        <f t="shared" si="791"/>
        <v>0</v>
      </c>
      <c r="V255" s="16">
        <f t="shared" si="792"/>
        <v>0</v>
      </c>
      <c r="W255" s="17">
        <f t="shared" si="793"/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6</v>
      </c>
      <c r="D256" s="21" t="str">
        <f>Spieltag!B243</f>
        <v>Aster Vranckx (A)</v>
      </c>
      <c r="E256" s="12" t="str">
        <f>Spieltag!C243</f>
        <v>Mittelfeld</v>
      </c>
      <c r="F256" s="13" t="s">
        <v>55</v>
      </c>
      <c r="G256" s="14"/>
      <c r="H256" s="15">
        <f t="shared" ref="H256" si="802">IF(G256="x",10,0)</f>
        <v>0</v>
      </c>
      <c r="I256" s="14"/>
      <c r="J256" s="15">
        <f t="shared" ref="J256" si="803">IF((I256="x"),-10,0)</f>
        <v>0</v>
      </c>
      <c r="K256" s="14"/>
      <c r="L256" s="15">
        <f t="shared" ref="L256" si="804">IF((K256="x"),-20,0)</f>
        <v>0</v>
      </c>
      <c r="M256" s="14"/>
      <c r="N256" s="15">
        <f t="shared" ref="N256" si="805">IF((M256="x"),-30,0)</f>
        <v>0</v>
      </c>
      <c r="O256" s="16">
        <f t="shared" si="766"/>
        <v>10</v>
      </c>
      <c r="P256" s="16">
        <f t="shared" si="767"/>
        <v>20</v>
      </c>
      <c r="Q256" s="16">
        <f t="shared" ref="Q256:Q266" si="806">IF(($Q$11&lt;&gt;0),$Q$11*-10,10)</f>
        <v>-20</v>
      </c>
      <c r="R256" s="14"/>
      <c r="S256" s="15">
        <f t="shared" ref="S256" si="807">R256*10</f>
        <v>0</v>
      </c>
      <c r="T256" s="14"/>
      <c r="U256" s="15">
        <f t="shared" ref="U256" si="808">T256*-15</f>
        <v>0</v>
      </c>
      <c r="V256" s="16">
        <f t="shared" ref="V256" si="809">IF(AND(R256=2),10,IF(R256=3,30,IF(R256=4,50,IF(R256=5,70,0))))</f>
        <v>0</v>
      </c>
      <c r="W256" s="17">
        <f t="shared" ref="W256" si="810">IF(G256="x",H256+J256+L256+N256+O256+P256+Q256+S256+U256+V256,0)</f>
        <v>0</v>
      </c>
    </row>
    <row r="257" spans="1:23" ht="10.5" customHeight="1" x14ac:dyDescent="0.2">
      <c r="A257" s="11"/>
      <c r="B257" s="149">
        <f>COUNTA(Spieltag!K244:AA244)</f>
        <v>1</v>
      </c>
      <c r="C257" s="166">
        <f>Spieltag!A244</f>
        <v>7</v>
      </c>
      <c r="D257" s="21" t="str">
        <f>Spieltag!B244</f>
        <v>Václav Černý (A)</v>
      </c>
      <c r="E257" s="12" t="str">
        <f>Spieltag!C244</f>
        <v>Mittelfeld</v>
      </c>
      <c r="F257" s="13" t="s">
        <v>55</v>
      </c>
      <c r="G257" s="14" t="s">
        <v>675</v>
      </c>
      <c r="H257" s="15">
        <f t="shared" ref="H257:H267" si="811">IF(G257="x",10,0)</f>
        <v>10</v>
      </c>
      <c r="I257" s="14"/>
      <c r="J257" s="15">
        <f t="shared" ref="J257:J267" si="812">IF((I257="x"),-10,0)</f>
        <v>0</v>
      </c>
      <c r="K257" s="14"/>
      <c r="L257" s="15">
        <f t="shared" ref="L257:L267" si="813">IF((K257="x"),-20,0)</f>
        <v>0</v>
      </c>
      <c r="M257" s="14"/>
      <c r="N257" s="15">
        <f t="shared" ref="N257:N267" si="814">IF((M257="x"),-30,0)</f>
        <v>0</v>
      </c>
      <c r="O257" s="16">
        <f t="shared" si="766"/>
        <v>10</v>
      </c>
      <c r="P257" s="16">
        <f t="shared" si="767"/>
        <v>20</v>
      </c>
      <c r="Q257" s="16">
        <f t="shared" si="806"/>
        <v>-20</v>
      </c>
      <c r="R257" s="14"/>
      <c r="S257" s="15">
        <f t="shared" ref="S257:S267" si="815">R257*10</f>
        <v>0</v>
      </c>
      <c r="T257" s="14"/>
      <c r="U257" s="15">
        <f t="shared" ref="U257:U267" si="816">T257*-15</f>
        <v>0</v>
      </c>
      <c r="V257" s="16">
        <f t="shared" ref="V257:V267" si="817">IF(AND(R257=2),10,IF(R257=3,30,IF(R257=4,50,IF(R257=5,70,0))))</f>
        <v>0</v>
      </c>
      <c r="W257" s="17">
        <f t="shared" ref="W257:W267" si="818">IF(G257="x",H257+J257+L257+N257+O257+P257+Q257+S257+U257+V257,0)</f>
        <v>20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16</v>
      </c>
      <c r="D258" s="21" t="str">
        <f>Spieltag!B245</f>
        <v>Jakub Kaminski (A)</v>
      </c>
      <c r="E258" s="12" t="str">
        <f>Spieltag!C245</f>
        <v>Mittelfeld</v>
      </c>
      <c r="F258" s="13" t="s">
        <v>55</v>
      </c>
      <c r="G258" s="14"/>
      <c r="H258" s="15">
        <f t="shared" si="811"/>
        <v>0</v>
      </c>
      <c r="I258" s="14"/>
      <c r="J258" s="15">
        <f t="shared" si="812"/>
        <v>0</v>
      </c>
      <c r="K258" s="14"/>
      <c r="L258" s="15">
        <f t="shared" si="813"/>
        <v>0</v>
      </c>
      <c r="M258" s="14"/>
      <c r="N258" s="15">
        <f t="shared" si="814"/>
        <v>0</v>
      </c>
      <c r="O258" s="16">
        <f t="shared" si="766"/>
        <v>10</v>
      </c>
      <c r="P258" s="16">
        <f t="shared" si="767"/>
        <v>20</v>
      </c>
      <c r="Q258" s="16">
        <f t="shared" si="806"/>
        <v>-20</v>
      </c>
      <c r="R258" s="14"/>
      <c r="S258" s="15">
        <f t="shared" si="815"/>
        <v>0</v>
      </c>
      <c r="T258" s="14"/>
      <c r="U258" s="15">
        <f t="shared" si="816"/>
        <v>0</v>
      </c>
      <c r="V258" s="16">
        <f t="shared" si="817"/>
        <v>0</v>
      </c>
      <c r="W258" s="17">
        <f t="shared" si="818"/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19</v>
      </c>
      <c r="D259" s="21" t="str">
        <f>Spieltag!B246</f>
        <v>Lovro Majer (A)</v>
      </c>
      <c r="E259" s="12" t="str">
        <f>Spieltag!C246</f>
        <v>Mittelfeld</v>
      </c>
      <c r="F259" s="13" t="s">
        <v>55</v>
      </c>
      <c r="G259" s="14"/>
      <c r="H259" s="15">
        <f t="shared" ref="H259" si="819">IF(G259="x",10,0)</f>
        <v>0</v>
      </c>
      <c r="I259" s="14"/>
      <c r="J259" s="15">
        <f t="shared" ref="J259" si="820">IF((I259="x"),-10,0)</f>
        <v>0</v>
      </c>
      <c r="K259" s="14"/>
      <c r="L259" s="15">
        <f t="shared" ref="L259" si="821">IF((K259="x"),-20,0)</f>
        <v>0</v>
      </c>
      <c r="M259" s="14"/>
      <c r="N259" s="15">
        <f t="shared" ref="N259" si="822">IF((M259="x"),-30,0)</f>
        <v>0</v>
      </c>
      <c r="O259" s="16">
        <f t="shared" si="766"/>
        <v>10</v>
      </c>
      <c r="P259" s="16">
        <f t="shared" si="767"/>
        <v>20</v>
      </c>
      <c r="Q259" s="16">
        <f t="shared" si="806"/>
        <v>-20</v>
      </c>
      <c r="R259" s="14"/>
      <c r="S259" s="15">
        <f t="shared" ref="S259" si="823">R259*10</f>
        <v>0</v>
      </c>
      <c r="T259" s="14"/>
      <c r="U259" s="15">
        <f t="shared" ref="U259" si="824">T259*-15</f>
        <v>0</v>
      </c>
      <c r="V259" s="16">
        <f t="shared" ref="V259" si="825">IF(AND(R259=2),10,IF(R259=3,30,IF(R259=4,50,IF(R259=5,70,0))))</f>
        <v>0</v>
      </c>
      <c r="W259" s="17">
        <f t="shared" ref="W259" si="826">IF(G259="x",H259+J259+L259+N259+O259+P259+Q259+S259+U259+V259,0)</f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20</v>
      </c>
      <c r="D260" s="21" t="str">
        <f>Spieltag!B247</f>
        <v>Ridle Baku</v>
      </c>
      <c r="E260" s="12" t="str">
        <f>Spieltag!C247</f>
        <v>Mittelfeld</v>
      </c>
      <c r="F260" s="13" t="s">
        <v>55</v>
      </c>
      <c r="G260" s="14"/>
      <c r="H260" s="15">
        <f t="shared" si="811"/>
        <v>0</v>
      </c>
      <c r="I260" s="14"/>
      <c r="J260" s="15">
        <f t="shared" si="812"/>
        <v>0</v>
      </c>
      <c r="K260" s="14"/>
      <c r="L260" s="15">
        <f t="shared" si="813"/>
        <v>0</v>
      </c>
      <c r="M260" s="14"/>
      <c r="N260" s="15">
        <f t="shared" si="814"/>
        <v>0</v>
      </c>
      <c r="O260" s="16">
        <f t="shared" si="766"/>
        <v>10</v>
      </c>
      <c r="P260" s="16">
        <f t="shared" si="767"/>
        <v>20</v>
      </c>
      <c r="Q260" s="16">
        <f t="shared" si="806"/>
        <v>-20</v>
      </c>
      <c r="R260" s="14"/>
      <c r="S260" s="15">
        <f t="shared" si="815"/>
        <v>0</v>
      </c>
      <c r="T260" s="14"/>
      <c r="U260" s="15">
        <f t="shared" si="816"/>
        <v>0</v>
      </c>
      <c r="V260" s="16">
        <f t="shared" si="817"/>
        <v>0</v>
      </c>
      <c r="W260" s="17">
        <f t="shared" si="818"/>
        <v>0</v>
      </c>
    </row>
    <row r="261" spans="1:23" ht="10.5" customHeight="1" x14ac:dyDescent="0.2">
      <c r="A261" s="11"/>
      <c r="B261" s="149">
        <f>COUNTA(Spieltag!K248:AA248)</f>
        <v>1</v>
      </c>
      <c r="C261" s="166">
        <f>Spieltag!A248</f>
        <v>27</v>
      </c>
      <c r="D261" s="21" t="str">
        <f>Spieltag!B248</f>
        <v>Maximilian Arnold</v>
      </c>
      <c r="E261" s="12" t="str">
        <f>Spieltag!C248</f>
        <v>Mittelfeld</v>
      </c>
      <c r="F261" s="13" t="s">
        <v>55</v>
      </c>
      <c r="G261" s="14" t="s">
        <v>675</v>
      </c>
      <c r="H261" s="15">
        <f t="shared" si="811"/>
        <v>10</v>
      </c>
      <c r="I261" s="14"/>
      <c r="J261" s="15">
        <f t="shared" si="812"/>
        <v>0</v>
      </c>
      <c r="K261" s="14"/>
      <c r="L261" s="15">
        <f t="shared" si="813"/>
        <v>0</v>
      </c>
      <c r="M261" s="14"/>
      <c r="N261" s="15">
        <f t="shared" si="814"/>
        <v>0</v>
      </c>
      <c r="O261" s="16">
        <f t="shared" si="766"/>
        <v>10</v>
      </c>
      <c r="P261" s="16">
        <f t="shared" si="767"/>
        <v>20</v>
      </c>
      <c r="Q261" s="16">
        <f t="shared" si="806"/>
        <v>-20</v>
      </c>
      <c r="R261" s="14"/>
      <c r="S261" s="15">
        <f t="shared" si="815"/>
        <v>0</v>
      </c>
      <c r="T261" s="14"/>
      <c r="U261" s="15">
        <f t="shared" si="816"/>
        <v>0</v>
      </c>
      <c r="V261" s="16">
        <f t="shared" si="817"/>
        <v>0</v>
      </c>
      <c r="W261" s="17">
        <f t="shared" si="818"/>
        <v>20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31</v>
      </c>
      <c r="D262" s="21" t="str">
        <f>Spieltag!B249</f>
        <v>Yannick Gerhardt</v>
      </c>
      <c r="E262" s="12" t="str">
        <f>Spieltag!C249</f>
        <v>Mittelfeld</v>
      </c>
      <c r="F262" s="13" t="s">
        <v>55</v>
      </c>
      <c r="G262" s="14"/>
      <c r="H262" s="15">
        <f t="shared" si="811"/>
        <v>0</v>
      </c>
      <c r="I262" s="14"/>
      <c r="J262" s="15">
        <f t="shared" si="812"/>
        <v>0</v>
      </c>
      <c r="K262" s="14"/>
      <c r="L262" s="15">
        <f t="shared" si="813"/>
        <v>0</v>
      </c>
      <c r="M262" s="14"/>
      <c r="N262" s="15">
        <f t="shared" si="814"/>
        <v>0</v>
      </c>
      <c r="O262" s="16">
        <f t="shared" si="766"/>
        <v>10</v>
      </c>
      <c r="P262" s="16">
        <f t="shared" si="767"/>
        <v>20</v>
      </c>
      <c r="Q262" s="16">
        <f t="shared" si="806"/>
        <v>-20</v>
      </c>
      <c r="R262" s="14"/>
      <c r="S262" s="15">
        <f t="shared" si="815"/>
        <v>0</v>
      </c>
      <c r="T262" s="14"/>
      <c r="U262" s="15">
        <f t="shared" si="816"/>
        <v>0</v>
      </c>
      <c r="V262" s="16">
        <f t="shared" si="817"/>
        <v>0</v>
      </c>
      <c r="W262" s="17">
        <f t="shared" si="818"/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32</v>
      </c>
      <c r="D263" s="21" t="str">
        <f>Spieltag!B250</f>
        <v>Mattias Svanberg (A)</v>
      </c>
      <c r="E263" s="12" t="str">
        <f>Spieltag!C250</f>
        <v>Mittelfeld</v>
      </c>
      <c r="F263" s="13" t="s">
        <v>55</v>
      </c>
      <c r="G263" s="14"/>
      <c r="H263" s="15">
        <f t="shared" si="811"/>
        <v>0</v>
      </c>
      <c r="I263" s="14"/>
      <c r="J263" s="15">
        <f t="shared" si="812"/>
        <v>0</v>
      </c>
      <c r="K263" s="14"/>
      <c r="L263" s="15">
        <f t="shared" si="813"/>
        <v>0</v>
      </c>
      <c r="M263" s="14"/>
      <c r="N263" s="15">
        <f t="shared" si="814"/>
        <v>0</v>
      </c>
      <c r="O263" s="16">
        <f t="shared" si="766"/>
        <v>10</v>
      </c>
      <c r="P263" s="16">
        <f t="shared" si="767"/>
        <v>20</v>
      </c>
      <c r="Q263" s="16">
        <f t="shared" si="806"/>
        <v>-20</v>
      </c>
      <c r="R263" s="14"/>
      <c r="S263" s="15">
        <f t="shared" si="815"/>
        <v>0</v>
      </c>
      <c r="T263" s="14"/>
      <c r="U263" s="15">
        <f t="shared" si="816"/>
        <v>0</v>
      </c>
      <c r="V263" s="16">
        <f t="shared" si="817"/>
        <v>0</v>
      </c>
      <c r="W263" s="17">
        <f t="shared" si="818"/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39</v>
      </c>
      <c r="D264" s="21" t="str">
        <f>Spieltag!B251</f>
        <v>Patrick Wimmer (A)</v>
      </c>
      <c r="E264" s="12" t="str">
        <f>Spieltag!C251</f>
        <v>Mittelfeld</v>
      </c>
      <c r="F264" s="13" t="s">
        <v>55</v>
      </c>
      <c r="G264" s="14"/>
      <c r="H264" s="15">
        <f t="shared" si="811"/>
        <v>0</v>
      </c>
      <c r="I264" s="14"/>
      <c r="J264" s="15">
        <f t="shared" si="812"/>
        <v>0</v>
      </c>
      <c r="K264" s="14"/>
      <c r="L264" s="15">
        <f t="shared" si="813"/>
        <v>0</v>
      </c>
      <c r="M264" s="14"/>
      <c r="N264" s="15">
        <f t="shared" si="814"/>
        <v>0</v>
      </c>
      <c r="O264" s="16">
        <f t="shared" si="766"/>
        <v>10</v>
      </c>
      <c r="P264" s="16">
        <f t="shared" si="767"/>
        <v>20</v>
      </c>
      <c r="Q264" s="16">
        <f t="shared" si="806"/>
        <v>-20</v>
      </c>
      <c r="R264" s="14"/>
      <c r="S264" s="15">
        <f t="shared" si="815"/>
        <v>0</v>
      </c>
      <c r="T264" s="14"/>
      <c r="U264" s="15">
        <f t="shared" si="816"/>
        <v>0</v>
      </c>
      <c r="V264" s="16">
        <f t="shared" si="817"/>
        <v>0</v>
      </c>
      <c r="W264" s="17">
        <f t="shared" si="818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40</v>
      </c>
      <c r="D265" s="21" t="str">
        <f>Spieltag!B252</f>
        <v>Kevin Paredes (A)</v>
      </c>
      <c r="E265" s="12" t="str">
        <f>Spieltag!C252</f>
        <v>Mittelfeld</v>
      </c>
      <c r="F265" s="13" t="s">
        <v>55</v>
      </c>
      <c r="G265" s="14"/>
      <c r="H265" s="15">
        <f t="shared" ref="H265" si="827">IF(G265="x",10,0)</f>
        <v>0</v>
      </c>
      <c r="I265" s="14"/>
      <c r="J265" s="15">
        <f t="shared" ref="J265" si="828">IF((I265="x"),-10,0)</f>
        <v>0</v>
      </c>
      <c r="K265" s="14"/>
      <c r="L265" s="15">
        <f t="shared" ref="L265" si="829">IF((K265="x"),-20,0)</f>
        <v>0</v>
      </c>
      <c r="M265" s="14"/>
      <c r="N265" s="15">
        <f t="shared" ref="N265" si="830">IF((M265="x"),-30,0)</f>
        <v>0</v>
      </c>
      <c r="O265" s="16">
        <f t="shared" si="766"/>
        <v>10</v>
      </c>
      <c r="P265" s="16">
        <f t="shared" si="767"/>
        <v>20</v>
      </c>
      <c r="Q265" s="16">
        <f t="shared" si="806"/>
        <v>-20</v>
      </c>
      <c r="R265" s="14"/>
      <c r="S265" s="15">
        <f t="shared" ref="S265" si="831">R265*10</f>
        <v>0</v>
      </c>
      <c r="T265" s="14"/>
      <c r="U265" s="15">
        <f t="shared" ref="U265" si="832">T265*-15</f>
        <v>0</v>
      </c>
      <c r="V265" s="16">
        <f t="shared" ref="V265" si="833">IF(AND(R265=2),10,IF(R265=3,30,IF(R265=4,50,IF(R265=5,70,0))))</f>
        <v>0</v>
      </c>
      <c r="W265" s="17">
        <f t="shared" ref="W265" si="834">IF(G265="x",H265+J265+L265+N265+O265+P265+Q265+S265+U265+V265,0)</f>
        <v>0</v>
      </c>
    </row>
    <row r="266" spans="1:23" ht="10.5" hidden="1" customHeight="1" x14ac:dyDescent="0.2">
      <c r="A266" s="11"/>
      <c r="B266" s="149">
        <f>COUNTA(Spieltag!K253:AA253)</f>
        <v>0</v>
      </c>
      <c r="C266" s="166">
        <f>Spieltag!A253</f>
        <v>41</v>
      </c>
      <c r="D266" s="21" t="str">
        <f>Spieltag!B253</f>
        <v>Kofi Amoako</v>
      </c>
      <c r="E266" s="12" t="str">
        <f>Spieltag!C253</f>
        <v>Mittelfeld</v>
      </c>
      <c r="F266" s="13" t="s">
        <v>55</v>
      </c>
      <c r="G266" s="14"/>
      <c r="H266" s="15">
        <f t="shared" si="811"/>
        <v>0</v>
      </c>
      <c r="I266" s="14"/>
      <c r="J266" s="15">
        <f t="shared" si="812"/>
        <v>0</v>
      </c>
      <c r="K266" s="14"/>
      <c r="L266" s="15">
        <f t="shared" si="813"/>
        <v>0</v>
      </c>
      <c r="M266" s="14"/>
      <c r="N266" s="15">
        <f t="shared" si="814"/>
        <v>0</v>
      </c>
      <c r="O266" s="16">
        <f t="shared" si="766"/>
        <v>10</v>
      </c>
      <c r="P266" s="16">
        <f t="shared" si="767"/>
        <v>20</v>
      </c>
      <c r="Q266" s="16">
        <f t="shared" si="806"/>
        <v>-20</v>
      </c>
      <c r="R266" s="14"/>
      <c r="S266" s="15">
        <f t="shared" si="815"/>
        <v>0</v>
      </c>
      <c r="T266" s="14"/>
      <c r="U266" s="15">
        <f t="shared" si="816"/>
        <v>0</v>
      </c>
      <c r="V266" s="16">
        <f t="shared" si="817"/>
        <v>0</v>
      </c>
      <c r="W266" s="17">
        <f t="shared" si="818"/>
        <v>0</v>
      </c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9</v>
      </c>
      <c r="D267" s="21" t="str">
        <f>Spieltag!B254</f>
        <v>Amin Sarr (A)</v>
      </c>
      <c r="E267" s="12" t="str">
        <f>Spieltag!C254</f>
        <v>Sturm</v>
      </c>
      <c r="F267" s="13" t="s">
        <v>55</v>
      </c>
      <c r="G267" s="14"/>
      <c r="H267" s="15">
        <f t="shared" si="811"/>
        <v>0</v>
      </c>
      <c r="I267" s="14"/>
      <c r="J267" s="15">
        <f t="shared" si="812"/>
        <v>0</v>
      </c>
      <c r="K267" s="14"/>
      <c r="L267" s="15">
        <f t="shared" si="813"/>
        <v>0</v>
      </c>
      <c r="M267" s="14"/>
      <c r="N267" s="15">
        <f t="shared" si="814"/>
        <v>0</v>
      </c>
      <c r="O267" s="16">
        <f t="shared" ref="O267:O271" si="835">IF(AND($P$11&gt;$Q$11),20,IF($P$11=$Q$11,10,0))</f>
        <v>10</v>
      </c>
      <c r="P267" s="16">
        <f t="shared" ref="P267:P271" si="836">IF(($P$11&lt;&gt;0),$P$11*10,-5)</f>
        <v>20</v>
      </c>
      <c r="Q267" s="16">
        <f t="shared" ref="Q267:Q271" si="837">IF(($Q$11&lt;&gt;0),$Q$11*-10,5)</f>
        <v>-20</v>
      </c>
      <c r="R267" s="14"/>
      <c r="S267" s="15">
        <f t="shared" si="815"/>
        <v>0</v>
      </c>
      <c r="T267" s="14"/>
      <c r="U267" s="15">
        <f t="shared" si="816"/>
        <v>0</v>
      </c>
      <c r="V267" s="16">
        <f t="shared" si="817"/>
        <v>0</v>
      </c>
      <c r="W267" s="17">
        <f t="shared" si="818"/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10</v>
      </c>
      <c r="D268" s="21" t="str">
        <f>Spieltag!B255</f>
        <v>Lukas Nmecha</v>
      </c>
      <c r="E268" s="12" t="str">
        <f>Spieltag!C255</f>
        <v>Sturm</v>
      </c>
      <c r="F268" s="13" t="s">
        <v>55</v>
      </c>
      <c r="G268" s="14"/>
      <c r="H268" s="15">
        <f t="shared" ref="H268" si="838">IF(G268="x",10,0)</f>
        <v>0</v>
      </c>
      <c r="I268" s="14"/>
      <c r="J268" s="15">
        <f t="shared" ref="J268" si="839">IF((I268="x"),-10,0)</f>
        <v>0</v>
      </c>
      <c r="K268" s="14"/>
      <c r="L268" s="15">
        <f t="shared" ref="L268" si="840">IF((K268="x"),-20,0)</f>
        <v>0</v>
      </c>
      <c r="M268" s="14"/>
      <c r="N268" s="15">
        <f t="shared" ref="N268" si="841">IF((M268="x"),-30,0)</f>
        <v>0</v>
      </c>
      <c r="O268" s="16">
        <f t="shared" si="835"/>
        <v>10</v>
      </c>
      <c r="P268" s="16">
        <f t="shared" si="836"/>
        <v>20</v>
      </c>
      <c r="Q268" s="16">
        <f t="shared" si="837"/>
        <v>-20</v>
      </c>
      <c r="R268" s="14"/>
      <c r="S268" s="15">
        <f t="shared" ref="S268" si="842">R268*10</f>
        <v>0</v>
      </c>
      <c r="T268" s="14"/>
      <c r="U268" s="15">
        <f t="shared" ref="U268" si="843">T268*-15</f>
        <v>0</v>
      </c>
      <c r="V268" s="16">
        <f t="shared" ref="V268" si="844">IF(AND(R268=2),10,IF(R268=3,30,IF(R268=4,50,IF(R268=5,70,0))))</f>
        <v>0</v>
      </c>
      <c r="W268" s="17">
        <f t="shared" ref="W268" si="845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11</v>
      </c>
      <c r="D269" s="21" t="str">
        <f>Spieltag!B256</f>
        <v>Tiago Tomás (A)</v>
      </c>
      <c r="E269" s="12" t="str">
        <f>Spieltag!C256</f>
        <v>Sturm</v>
      </c>
      <c r="F269" s="13" t="s">
        <v>55</v>
      </c>
      <c r="G269" s="14"/>
      <c r="H269" s="15">
        <f t="shared" ref="H269:H271" si="846">IF(G269="x",10,0)</f>
        <v>0</v>
      </c>
      <c r="I269" s="14"/>
      <c r="J269" s="15">
        <f t="shared" ref="J269:J271" si="847">IF((I269="x"),-10,0)</f>
        <v>0</v>
      </c>
      <c r="K269" s="14"/>
      <c r="L269" s="15">
        <f t="shared" ref="L269:L271" si="848">IF((K269="x"),-20,0)</f>
        <v>0</v>
      </c>
      <c r="M269" s="14"/>
      <c r="N269" s="15">
        <f t="shared" ref="N269:N271" si="849">IF((M269="x"),-30,0)</f>
        <v>0</v>
      </c>
      <c r="O269" s="16">
        <f t="shared" si="835"/>
        <v>10</v>
      </c>
      <c r="P269" s="16">
        <f t="shared" si="836"/>
        <v>20</v>
      </c>
      <c r="Q269" s="16">
        <f t="shared" si="837"/>
        <v>-20</v>
      </c>
      <c r="R269" s="14"/>
      <c r="S269" s="15">
        <f t="shared" ref="S269:S271" si="850">R269*10</f>
        <v>0</v>
      </c>
      <c r="T269" s="14"/>
      <c r="U269" s="15">
        <f t="shared" ref="U269:U271" si="851">T269*-15</f>
        <v>0</v>
      </c>
      <c r="V269" s="16">
        <f t="shared" ref="V269:V271" si="852">IF(AND(R269=2),10,IF(R269=3,30,IF(R269=4,50,IF(R269=5,70,0))))</f>
        <v>0</v>
      </c>
      <c r="W269" s="17">
        <f t="shared" ref="W269:W271" si="853">IF(G269="x",H269+J269+L269+N269+O269+P269+Q269+S269+U269+V269,0)</f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18</v>
      </c>
      <c r="D270" s="21" t="str">
        <f>Spieltag!B257</f>
        <v>Dženan Pejčinović</v>
      </c>
      <c r="E270" s="12" t="str">
        <f>Spieltag!C257</f>
        <v>Sturm</v>
      </c>
      <c r="F270" s="13" t="s">
        <v>55</v>
      </c>
      <c r="G270" s="14"/>
      <c r="H270" s="15">
        <f t="shared" si="846"/>
        <v>0</v>
      </c>
      <c r="I270" s="14"/>
      <c r="J270" s="15">
        <f t="shared" si="847"/>
        <v>0</v>
      </c>
      <c r="K270" s="14"/>
      <c r="L270" s="15">
        <f t="shared" si="848"/>
        <v>0</v>
      </c>
      <c r="M270" s="14"/>
      <c r="N270" s="15">
        <f t="shared" si="849"/>
        <v>0</v>
      </c>
      <c r="O270" s="16">
        <f t="shared" si="835"/>
        <v>10</v>
      </c>
      <c r="P270" s="16">
        <f t="shared" si="836"/>
        <v>20</v>
      </c>
      <c r="Q270" s="16">
        <f t="shared" si="837"/>
        <v>-20</v>
      </c>
      <c r="R270" s="14"/>
      <c r="S270" s="15">
        <f t="shared" si="850"/>
        <v>0</v>
      </c>
      <c r="T270" s="14"/>
      <c r="U270" s="15">
        <f t="shared" si="851"/>
        <v>0</v>
      </c>
      <c r="V270" s="16">
        <f t="shared" si="852"/>
        <v>0</v>
      </c>
      <c r="W270" s="17">
        <f t="shared" si="853"/>
        <v>0</v>
      </c>
    </row>
    <row r="271" spans="1:23" ht="10.5" customHeight="1" x14ac:dyDescent="0.2">
      <c r="A271" s="11"/>
      <c r="B271" s="149">
        <f>COUNTA(Spieltag!K258:AA258)</f>
        <v>2</v>
      </c>
      <c r="C271" s="166">
        <f>Spieltag!A258</f>
        <v>23</v>
      </c>
      <c r="D271" s="21" t="str">
        <f>Spieltag!B258</f>
        <v>Jonas Wind (A)</v>
      </c>
      <c r="E271" s="12" t="str">
        <f>Spieltag!C258</f>
        <v>Sturm</v>
      </c>
      <c r="F271" s="13" t="s">
        <v>55</v>
      </c>
      <c r="G271" s="14" t="s">
        <v>675</v>
      </c>
      <c r="H271" s="15">
        <f t="shared" si="846"/>
        <v>10</v>
      </c>
      <c r="I271" s="14"/>
      <c r="J271" s="15">
        <f t="shared" si="847"/>
        <v>0</v>
      </c>
      <c r="K271" s="14"/>
      <c r="L271" s="15">
        <f t="shared" si="848"/>
        <v>0</v>
      </c>
      <c r="M271" s="14"/>
      <c r="N271" s="15">
        <f t="shared" si="849"/>
        <v>0</v>
      </c>
      <c r="O271" s="16">
        <f t="shared" si="835"/>
        <v>10</v>
      </c>
      <c r="P271" s="16">
        <f t="shared" si="836"/>
        <v>20</v>
      </c>
      <c r="Q271" s="16">
        <f t="shared" si="837"/>
        <v>-20</v>
      </c>
      <c r="R271" s="14"/>
      <c r="S271" s="15">
        <f t="shared" si="850"/>
        <v>0</v>
      </c>
      <c r="T271" s="14"/>
      <c r="U271" s="15">
        <f t="shared" si="851"/>
        <v>0</v>
      </c>
      <c r="V271" s="16">
        <f t="shared" si="852"/>
        <v>0</v>
      </c>
      <c r="W271" s="17">
        <f t="shared" si="853"/>
        <v>20</v>
      </c>
    </row>
    <row r="272" spans="1:23" s="144" customFormat="1" ht="17.25" hidden="1" thickBot="1" x14ac:dyDescent="0.25">
      <c r="A272" s="142"/>
      <c r="B272" s="143">
        <f>SUM(B273:B300)</f>
        <v>0</v>
      </c>
      <c r="C272" s="158"/>
      <c r="D272" s="234" t="s">
        <v>120</v>
      </c>
      <c r="E272" s="234"/>
      <c r="F272" s="234"/>
      <c r="G272" s="234"/>
      <c r="H272" s="234"/>
      <c r="I272" s="234"/>
      <c r="J272" s="234"/>
      <c r="K272" s="234"/>
      <c r="L272" s="234"/>
      <c r="M272" s="234"/>
      <c r="N272" s="234"/>
      <c r="O272" s="234"/>
      <c r="P272" s="234"/>
      <c r="Q272" s="234"/>
      <c r="R272" s="234"/>
      <c r="S272" s="234"/>
      <c r="T272" s="234"/>
      <c r="U272" s="234"/>
      <c r="V272" s="234"/>
      <c r="W272" s="235"/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1</v>
      </c>
      <c r="D273" s="21" t="str">
        <f>Spieltag!B260</f>
        <v>Lasse Riess</v>
      </c>
      <c r="E273" s="12" t="str">
        <f>Spieltag!C260</f>
        <v>Torwart</v>
      </c>
      <c r="F273" s="13" t="s">
        <v>88</v>
      </c>
      <c r="G273" s="14"/>
      <c r="H273" s="15">
        <f t="shared" ref="H273" si="854">IF(G273="x",10,0)</f>
        <v>0</v>
      </c>
      <c r="I273" s="14"/>
      <c r="J273" s="15">
        <f t="shared" ref="J273" si="855">IF((I273="x"),-10,0)</f>
        <v>0</v>
      </c>
      <c r="K273" s="14"/>
      <c r="L273" s="15">
        <f t="shared" ref="L273" si="856">IF((K273="x"),-20,0)</f>
        <v>0</v>
      </c>
      <c r="M273" s="14"/>
      <c r="N273" s="15">
        <f t="shared" ref="N273" si="857">IF((M273="x"),-30,0)</f>
        <v>0</v>
      </c>
      <c r="O273" s="16">
        <f t="shared" ref="O273:O300" si="858">IF(AND($V$10&gt;$W$10),20,IF($V$10=$W$10,10,0))</f>
        <v>0</v>
      </c>
      <c r="P273" s="16">
        <f t="shared" ref="P273:P300" si="859">IF(($V$10&lt;&gt;0),$V$10*10,-5)</f>
        <v>-5</v>
      </c>
      <c r="Q273" s="16">
        <f t="shared" ref="Q273:Q275" si="860">IF(($W$10&lt;&gt;0),$W$10*-10,20)</f>
        <v>-10</v>
      </c>
      <c r="R273" s="14"/>
      <c r="S273" s="15">
        <f t="shared" ref="S273" si="861">R273*20</f>
        <v>0</v>
      </c>
      <c r="T273" s="14"/>
      <c r="U273" s="15">
        <f t="shared" ref="U273" si="862">T273*-15</f>
        <v>0</v>
      </c>
      <c r="V273" s="16">
        <f t="shared" ref="V273" si="863">IF(AND(R273=2),10,IF(R273=3,30,IF(R273=4,50,IF(R273=5,70,0))))</f>
        <v>0</v>
      </c>
      <c r="W273" s="17">
        <f t="shared" ref="W273" si="864">IF(G273="x",H273+J273+L273+N273+O273+P273+Q273+S273+U273+V273,0)</f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27</v>
      </c>
      <c r="D274" s="21" t="str">
        <f>Spieltag!B261</f>
        <v>Robin Zentner</v>
      </c>
      <c r="E274" s="12" t="str">
        <f>Spieltag!C261</f>
        <v>Torwart</v>
      </c>
      <c r="F274" s="13" t="s">
        <v>88</v>
      </c>
      <c r="G274" s="14"/>
      <c r="H274" s="15">
        <f t="shared" ref="H274:H276" si="865">IF(G274="x",10,0)</f>
        <v>0</v>
      </c>
      <c r="I274" s="14"/>
      <c r="J274" s="15">
        <f t="shared" ref="J274:J276" si="866">IF((I274="x"),-10,0)</f>
        <v>0</v>
      </c>
      <c r="K274" s="14"/>
      <c r="L274" s="15">
        <f t="shared" ref="L274:L276" si="867">IF((K274="x"),-20,0)</f>
        <v>0</v>
      </c>
      <c r="M274" s="14"/>
      <c r="N274" s="15">
        <f t="shared" ref="N274:N276" si="868">IF((M274="x"),-30,0)</f>
        <v>0</v>
      </c>
      <c r="O274" s="16">
        <f t="shared" si="858"/>
        <v>0</v>
      </c>
      <c r="P274" s="16">
        <f t="shared" si="859"/>
        <v>-5</v>
      </c>
      <c r="Q274" s="16">
        <f t="shared" si="860"/>
        <v>-10</v>
      </c>
      <c r="R274" s="14"/>
      <c r="S274" s="15">
        <f t="shared" ref="S274:S275" si="869">R274*20</f>
        <v>0</v>
      </c>
      <c r="T274" s="14"/>
      <c r="U274" s="15">
        <f t="shared" ref="U274:U276" si="870">T274*-15</f>
        <v>0</v>
      </c>
      <c r="V274" s="16">
        <f t="shared" ref="V274:V276" si="871">IF(AND(R274=2),10,IF(R274=3,30,IF(R274=4,50,IF(R274=5,70,0))))</f>
        <v>0</v>
      </c>
      <c r="W274" s="17">
        <f t="shared" ref="W274:W276" si="872">IF(G274="x",H274+J274+L274+N274+O274+P274+Q274+S274+U274+V274,0)</f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33</v>
      </c>
      <c r="D275" s="21" t="str">
        <f>Spieltag!B262</f>
        <v>Daniel Batz</v>
      </c>
      <c r="E275" s="12" t="str">
        <f>Spieltag!C262</f>
        <v>Torwart</v>
      </c>
      <c r="F275" s="13" t="s">
        <v>88</v>
      </c>
      <c r="G275" s="14"/>
      <c r="H275" s="15">
        <f t="shared" si="865"/>
        <v>0</v>
      </c>
      <c r="I275" s="14"/>
      <c r="J275" s="15">
        <f t="shared" si="866"/>
        <v>0</v>
      </c>
      <c r="K275" s="14"/>
      <c r="L275" s="15">
        <f t="shared" si="867"/>
        <v>0</v>
      </c>
      <c r="M275" s="14"/>
      <c r="N275" s="15">
        <f t="shared" si="868"/>
        <v>0</v>
      </c>
      <c r="O275" s="16">
        <f t="shared" si="858"/>
        <v>0</v>
      </c>
      <c r="P275" s="16">
        <f t="shared" si="859"/>
        <v>-5</v>
      </c>
      <c r="Q275" s="16">
        <f t="shared" si="860"/>
        <v>-10</v>
      </c>
      <c r="R275" s="14"/>
      <c r="S275" s="15">
        <f t="shared" si="869"/>
        <v>0</v>
      </c>
      <c r="T275" s="14"/>
      <c r="U275" s="15">
        <f t="shared" si="870"/>
        <v>0</v>
      </c>
      <c r="V275" s="16">
        <f t="shared" si="871"/>
        <v>0</v>
      </c>
      <c r="W275" s="17">
        <f t="shared" si="872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2</v>
      </c>
      <c r="D276" s="21" t="str">
        <f>Spieltag!B263</f>
        <v>Philipp Mwene (A)</v>
      </c>
      <c r="E276" s="12" t="str">
        <f>Spieltag!C263</f>
        <v>Abwehr</v>
      </c>
      <c r="F276" s="13" t="s">
        <v>88</v>
      </c>
      <c r="G276" s="14"/>
      <c r="H276" s="15">
        <f t="shared" si="865"/>
        <v>0</v>
      </c>
      <c r="I276" s="14"/>
      <c r="J276" s="15">
        <f t="shared" si="866"/>
        <v>0</v>
      </c>
      <c r="K276" s="14"/>
      <c r="L276" s="15">
        <f t="shared" si="867"/>
        <v>0</v>
      </c>
      <c r="M276" s="14"/>
      <c r="N276" s="15">
        <f t="shared" si="868"/>
        <v>0</v>
      </c>
      <c r="O276" s="16">
        <f t="shared" si="858"/>
        <v>0</v>
      </c>
      <c r="P276" s="16">
        <f t="shared" si="859"/>
        <v>-5</v>
      </c>
      <c r="Q276" s="16">
        <f t="shared" ref="Q276:Q285" si="873">IF(($W$10&lt;&gt;0),$W$10*-10,15)</f>
        <v>-10</v>
      </c>
      <c r="R276" s="14"/>
      <c r="S276" s="15">
        <f t="shared" ref="S276" si="874">R276*15</f>
        <v>0</v>
      </c>
      <c r="T276" s="14"/>
      <c r="U276" s="15">
        <f t="shared" si="870"/>
        <v>0</v>
      </c>
      <c r="V276" s="16">
        <f t="shared" si="871"/>
        <v>0</v>
      </c>
      <c r="W276" s="17">
        <f t="shared" si="872"/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3</v>
      </c>
      <c r="D277" s="21" t="str">
        <f>Spieltag!B264</f>
        <v>Sepp van den Berg (A)</v>
      </c>
      <c r="E277" s="12" t="str">
        <f>Spieltag!C264</f>
        <v>Abwehr</v>
      </c>
      <c r="F277" s="13" t="s">
        <v>88</v>
      </c>
      <c r="G277" s="14"/>
      <c r="H277" s="15">
        <f t="shared" ref="H277" si="875">IF(G277="x",10,0)</f>
        <v>0</v>
      </c>
      <c r="I277" s="14"/>
      <c r="J277" s="15">
        <f t="shared" ref="J277" si="876">IF((I277="x"),-10,0)</f>
        <v>0</v>
      </c>
      <c r="K277" s="14"/>
      <c r="L277" s="15">
        <f t="shared" ref="L277" si="877">IF((K277="x"),-20,0)</f>
        <v>0</v>
      </c>
      <c r="M277" s="14"/>
      <c r="N277" s="15">
        <f t="shared" ref="N277" si="878">IF((M277="x"),-30,0)</f>
        <v>0</v>
      </c>
      <c r="O277" s="16">
        <f t="shared" si="858"/>
        <v>0</v>
      </c>
      <c r="P277" s="16">
        <f t="shared" si="859"/>
        <v>-5</v>
      </c>
      <c r="Q277" s="16">
        <f t="shared" si="873"/>
        <v>-10</v>
      </c>
      <c r="R277" s="14"/>
      <c r="S277" s="15">
        <f t="shared" ref="S277" si="879">R277*15</f>
        <v>0</v>
      </c>
      <c r="T277" s="14"/>
      <c r="U277" s="15">
        <f t="shared" ref="U277" si="880">T277*-15</f>
        <v>0</v>
      </c>
      <c r="V277" s="16">
        <f t="shared" ref="V277" si="881">IF(AND(R277=2),10,IF(R277=3,30,IF(R277=4,50,IF(R277=5,70,0))))</f>
        <v>0</v>
      </c>
      <c r="W277" s="17">
        <f t="shared" ref="W277" si="882">IF(G277="x",H277+J277+L277+N277+O277+P277+Q277+S277+U277+V277,0)</f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5</v>
      </c>
      <c r="D278" s="21" t="str">
        <f>Spieltag!B265</f>
        <v>Maxim Leitsch</v>
      </c>
      <c r="E278" s="12" t="str">
        <f>Spieltag!C265</f>
        <v>Abwehr</v>
      </c>
      <c r="F278" s="13" t="s">
        <v>88</v>
      </c>
      <c r="G278" s="14"/>
      <c r="H278" s="15">
        <f t="shared" ref="H278:H285" si="883">IF(G278="x",10,0)</f>
        <v>0</v>
      </c>
      <c r="I278" s="14"/>
      <c r="J278" s="15">
        <f t="shared" ref="J278:J285" si="884">IF((I278="x"),-10,0)</f>
        <v>0</v>
      </c>
      <c r="K278" s="14"/>
      <c r="L278" s="15">
        <f t="shared" ref="L278:L285" si="885">IF((K278="x"),-20,0)</f>
        <v>0</v>
      </c>
      <c r="M278" s="14"/>
      <c r="N278" s="15">
        <f t="shared" ref="N278:N285" si="886">IF((M278="x"),-30,0)</f>
        <v>0</v>
      </c>
      <c r="O278" s="16">
        <f t="shared" si="858"/>
        <v>0</v>
      </c>
      <c r="P278" s="16">
        <f t="shared" si="859"/>
        <v>-5</v>
      </c>
      <c r="Q278" s="16">
        <f t="shared" si="873"/>
        <v>-10</v>
      </c>
      <c r="R278" s="14"/>
      <c r="S278" s="15">
        <f t="shared" ref="S278:S285" si="887">R278*15</f>
        <v>0</v>
      </c>
      <c r="T278" s="14"/>
      <c r="U278" s="15">
        <f t="shared" ref="U278:U285" si="888">T278*-15</f>
        <v>0</v>
      </c>
      <c r="V278" s="16">
        <f t="shared" ref="V278:V285" si="889">IF(AND(R278=2),10,IF(R278=3,30,IF(R278=4,50,IF(R278=5,70,0))))</f>
        <v>0</v>
      </c>
      <c r="W278" s="17">
        <f t="shared" ref="W278:W285" si="890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16</v>
      </c>
      <c r="D279" s="21" t="str">
        <f>Spieltag!B266</f>
        <v>Stefan Bell</v>
      </c>
      <c r="E279" s="12" t="str">
        <f>Spieltag!C266</f>
        <v>Abwehr</v>
      </c>
      <c r="F279" s="13" t="s">
        <v>88</v>
      </c>
      <c r="G279" s="14"/>
      <c r="H279" s="15">
        <f t="shared" si="883"/>
        <v>0</v>
      </c>
      <c r="I279" s="14"/>
      <c r="J279" s="15">
        <f t="shared" si="884"/>
        <v>0</v>
      </c>
      <c r="K279" s="14"/>
      <c r="L279" s="15">
        <f t="shared" si="885"/>
        <v>0</v>
      </c>
      <c r="M279" s="14"/>
      <c r="N279" s="15">
        <f t="shared" si="886"/>
        <v>0</v>
      </c>
      <c r="O279" s="16">
        <f t="shared" si="858"/>
        <v>0</v>
      </c>
      <c r="P279" s="16">
        <f t="shared" si="859"/>
        <v>-5</v>
      </c>
      <c r="Q279" s="16">
        <f t="shared" si="873"/>
        <v>-10</v>
      </c>
      <c r="R279" s="14"/>
      <c r="S279" s="15">
        <f t="shared" si="887"/>
        <v>0</v>
      </c>
      <c r="T279" s="14"/>
      <c r="U279" s="15">
        <f t="shared" si="888"/>
        <v>0</v>
      </c>
      <c r="V279" s="16">
        <f t="shared" si="889"/>
        <v>0</v>
      </c>
      <c r="W279" s="17">
        <f t="shared" si="890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19</v>
      </c>
      <c r="D280" s="21" t="str">
        <f>Spieltag!B267</f>
        <v>Anthony Caci (A)</v>
      </c>
      <c r="E280" s="12" t="str">
        <f>Spieltag!C267</f>
        <v>Abwehr</v>
      </c>
      <c r="F280" s="13" t="s">
        <v>88</v>
      </c>
      <c r="G280" s="14"/>
      <c r="H280" s="15">
        <f t="shared" si="883"/>
        <v>0</v>
      </c>
      <c r="I280" s="14"/>
      <c r="J280" s="15">
        <f t="shared" si="884"/>
        <v>0</v>
      </c>
      <c r="K280" s="14"/>
      <c r="L280" s="15">
        <f t="shared" si="885"/>
        <v>0</v>
      </c>
      <c r="M280" s="14"/>
      <c r="N280" s="15">
        <f t="shared" si="886"/>
        <v>0</v>
      </c>
      <c r="O280" s="16">
        <f t="shared" si="858"/>
        <v>0</v>
      </c>
      <c r="P280" s="16">
        <f t="shared" si="859"/>
        <v>-5</v>
      </c>
      <c r="Q280" s="16">
        <f t="shared" si="873"/>
        <v>-10</v>
      </c>
      <c r="R280" s="14"/>
      <c r="S280" s="15">
        <f t="shared" si="887"/>
        <v>0</v>
      </c>
      <c r="T280" s="14"/>
      <c r="U280" s="15">
        <f t="shared" si="888"/>
        <v>0</v>
      </c>
      <c r="V280" s="16">
        <f t="shared" si="889"/>
        <v>0</v>
      </c>
      <c r="W280" s="17">
        <f t="shared" si="890"/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20</v>
      </c>
      <c r="D281" s="21" t="str">
        <f>Spieltag!B268</f>
        <v>Edimilson Fernandes (A)</v>
      </c>
      <c r="E281" s="12" t="str">
        <f>Spieltag!C268</f>
        <v>Abwehr</v>
      </c>
      <c r="F281" s="13" t="s">
        <v>88</v>
      </c>
      <c r="G281" s="14"/>
      <c r="H281" s="15">
        <f t="shared" si="883"/>
        <v>0</v>
      </c>
      <c r="I281" s="14"/>
      <c r="J281" s="15">
        <f t="shared" si="884"/>
        <v>0</v>
      </c>
      <c r="K281" s="14"/>
      <c r="L281" s="15">
        <f t="shared" si="885"/>
        <v>0</v>
      </c>
      <c r="M281" s="14"/>
      <c r="N281" s="15">
        <f t="shared" si="886"/>
        <v>0</v>
      </c>
      <c r="O281" s="16">
        <f t="shared" si="858"/>
        <v>0</v>
      </c>
      <c r="P281" s="16">
        <f t="shared" si="859"/>
        <v>-5</v>
      </c>
      <c r="Q281" s="16">
        <f t="shared" si="873"/>
        <v>-10</v>
      </c>
      <c r="R281" s="14"/>
      <c r="S281" s="15">
        <f t="shared" si="887"/>
        <v>0</v>
      </c>
      <c r="T281" s="14"/>
      <c r="U281" s="15">
        <f t="shared" si="888"/>
        <v>0</v>
      </c>
      <c r="V281" s="16">
        <f t="shared" si="889"/>
        <v>0</v>
      </c>
      <c r="W281" s="17">
        <f t="shared" si="890"/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21</v>
      </c>
      <c r="D282" s="21" t="str">
        <f>Spieltag!B269</f>
        <v>Danny da Costa</v>
      </c>
      <c r="E282" s="12" t="str">
        <f>Spieltag!C269</f>
        <v>Abwehr</v>
      </c>
      <c r="F282" s="13" t="s">
        <v>88</v>
      </c>
      <c r="G282" s="14"/>
      <c r="H282" s="15">
        <f t="shared" si="883"/>
        <v>0</v>
      </c>
      <c r="I282" s="14"/>
      <c r="J282" s="15">
        <f t="shared" si="884"/>
        <v>0</v>
      </c>
      <c r="K282" s="14"/>
      <c r="L282" s="15">
        <f t="shared" si="885"/>
        <v>0</v>
      </c>
      <c r="M282" s="14"/>
      <c r="N282" s="15">
        <f t="shared" si="886"/>
        <v>0</v>
      </c>
      <c r="O282" s="16">
        <f t="shared" si="858"/>
        <v>0</v>
      </c>
      <c r="P282" s="16">
        <f t="shared" si="859"/>
        <v>-5</v>
      </c>
      <c r="Q282" s="16">
        <f t="shared" si="873"/>
        <v>-10</v>
      </c>
      <c r="R282" s="14"/>
      <c r="S282" s="15">
        <f t="shared" si="887"/>
        <v>0</v>
      </c>
      <c r="T282" s="14"/>
      <c r="U282" s="15">
        <f t="shared" si="888"/>
        <v>0</v>
      </c>
      <c r="V282" s="16">
        <f t="shared" si="889"/>
        <v>0</v>
      </c>
      <c r="W282" s="17">
        <f t="shared" si="890"/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25</v>
      </c>
      <c r="D283" s="21" t="str">
        <f>Spieltag!B270</f>
        <v>Andreas Hanche-Olsen (A)</v>
      </c>
      <c r="E283" s="12" t="str">
        <f>Spieltag!C270</f>
        <v>Abwehr</v>
      </c>
      <c r="F283" s="13" t="s">
        <v>88</v>
      </c>
      <c r="G283" s="14"/>
      <c r="H283" s="15">
        <f t="shared" si="883"/>
        <v>0</v>
      </c>
      <c r="I283" s="14"/>
      <c r="J283" s="15">
        <f t="shared" si="884"/>
        <v>0</v>
      </c>
      <c r="K283" s="14"/>
      <c r="L283" s="15">
        <f t="shared" si="885"/>
        <v>0</v>
      </c>
      <c r="M283" s="14"/>
      <c r="N283" s="15">
        <f t="shared" si="886"/>
        <v>0</v>
      </c>
      <c r="O283" s="16">
        <f t="shared" si="858"/>
        <v>0</v>
      </c>
      <c r="P283" s="16">
        <f t="shared" si="859"/>
        <v>-5</v>
      </c>
      <c r="Q283" s="16">
        <f t="shared" si="873"/>
        <v>-10</v>
      </c>
      <c r="R283" s="14"/>
      <c r="S283" s="15">
        <f t="shared" si="887"/>
        <v>0</v>
      </c>
      <c r="T283" s="14"/>
      <c r="U283" s="15">
        <f t="shared" si="888"/>
        <v>0</v>
      </c>
      <c r="V283" s="16">
        <f t="shared" si="889"/>
        <v>0</v>
      </c>
      <c r="W283" s="17">
        <f t="shared" si="890"/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30</v>
      </c>
      <c r="D284" s="21" t="str">
        <f>Spieltag!B271</f>
        <v>Silvan Widmer (A)</v>
      </c>
      <c r="E284" s="12" t="str">
        <f>Spieltag!C271</f>
        <v>Abwehr</v>
      </c>
      <c r="F284" s="13" t="s">
        <v>88</v>
      </c>
      <c r="G284" s="14"/>
      <c r="H284" s="15">
        <f t="shared" ref="H284" si="891">IF(G284="x",10,0)</f>
        <v>0</v>
      </c>
      <c r="I284" s="14"/>
      <c r="J284" s="15">
        <f t="shared" ref="J284" si="892">IF((I284="x"),-10,0)</f>
        <v>0</v>
      </c>
      <c r="K284" s="14"/>
      <c r="L284" s="15">
        <f t="shared" ref="L284" si="893">IF((K284="x"),-20,0)</f>
        <v>0</v>
      </c>
      <c r="M284" s="14"/>
      <c r="N284" s="15">
        <f t="shared" ref="N284" si="894">IF((M284="x"),-30,0)</f>
        <v>0</v>
      </c>
      <c r="O284" s="16">
        <f t="shared" si="858"/>
        <v>0</v>
      </c>
      <c r="P284" s="16">
        <f t="shared" si="859"/>
        <v>-5</v>
      </c>
      <c r="Q284" s="16">
        <f t="shared" si="873"/>
        <v>-10</v>
      </c>
      <c r="R284" s="14"/>
      <c r="S284" s="15">
        <f t="shared" ref="S284" si="895">R284*15</f>
        <v>0</v>
      </c>
      <c r="T284" s="14"/>
      <c r="U284" s="15">
        <f t="shared" ref="U284" si="896">T284*-15</f>
        <v>0</v>
      </c>
      <c r="V284" s="16">
        <f t="shared" ref="V284" si="897">IF(AND(R284=2),10,IF(R284=3,30,IF(R284=4,50,IF(R284=5,70,0))))</f>
        <v>0</v>
      </c>
      <c r="W284" s="17">
        <f t="shared" ref="W284" si="898">IF(G284="x",H284+J284+L284+N284+O284+P284+Q284+S284+U284+V284,0)</f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47</v>
      </c>
      <c r="D285" s="21" t="str">
        <f>Spieltag!B272</f>
        <v>Lasse Wilhelm</v>
      </c>
      <c r="E285" s="12" t="str">
        <f>Spieltag!C272</f>
        <v>Abwehr</v>
      </c>
      <c r="F285" s="13" t="s">
        <v>88</v>
      </c>
      <c r="G285" s="14"/>
      <c r="H285" s="15">
        <f t="shared" si="883"/>
        <v>0</v>
      </c>
      <c r="I285" s="14"/>
      <c r="J285" s="15">
        <f t="shared" si="884"/>
        <v>0</v>
      </c>
      <c r="K285" s="14"/>
      <c r="L285" s="15">
        <f t="shared" si="885"/>
        <v>0</v>
      </c>
      <c r="M285" s="14"/>
      <c r="N285" s="15">
        <f t="shared" si="886"/>
        <v>0</v>
      </c>
      <c r="O285" s="16">
        <f t="shared" si="858"/>
        <v>0</v>
      </c>
      <c r="P285" s="16">
        <f t="shared" si="859"/>
        <v>-5</v>
      </c>
      <c r="Q285" s="16">
        <f t="shared" si="873"/>
        <v>-10</v>
      </c>
      <c r="R285" s="14"/>
      <c r="S285" s="15">
        <f t="shared" si="887"/>
        <v>0</v>
      </c>
      <c r="T285" s="14"/>
      <c r="U285" s="15">
        <f t="shared" si="888"/>
        <v>0</v>
      </c>
      <c r="V285" s="16">
        <f t="shared" si="889"/>
        <v>0</v>
      </c>
      <c r="W285" s="17">
        <f t="shared" si="890"/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7</v>
      </c>
      <c r="D286" s="21" t="str">
        <f>Spieltag!B273</f>
        <v>Jae-Sung Lee</v>
      </c>
      <c r="E286" s="12" t="str">
        <f>Spieltag!C273</f>
        <v>Mittelfeld</v>
      </c>
      <c r="F286" s="13" t="s">
        <v>88</v>
      </c>
      <c r="G286" s="14"/>
      <c r="H286" s="15">
        <f t="shared" ref="H286:H293" si="899">IF(G286="x",10,0)</f>
        <v>0</v>
      </c>
      <c r="I286" s="14"/>
      <c r="J286" s="15">
        <f t="shared" ref="J286:J293" si="900">IF((I286="x"),-10,0)</f>
        <v>0</v>
      </c>
      <c r="K286" s="14"/>
      <c r="L286" s="15">
        <f t="shared" ref="L286:L293" si="901">IF((K286="x"),-20,0)</f>
        <v>0</v>
      </c>
      <c r="M286" s="14"/>
      <c r="N286" s="15">
        <f t="shared" ref="N286:N293" si="902">IF((M286="x"),-30,0)</f>
        <v>0</v>
      </c>
      <c r="O286" s="16">
        <f t="shared" si="858"/>
        <v>0</v>
      </c>
      <c r="P286" s="16">
        <f t="shared" si="859"/>
        <v>-5</v>
      </c>
      <c r="Q286" s="16">
        <f t="shared" ref="Q286:Q293" si="903">IF(($W$10&lt;&gt;0),$W$10*-10,10)</f>
        <v>-10</v>
      </c>
      <c r="R286" s="14"/>
      <c r="S286" s="15">
        <f t="shared" ref="S286:S293" si="904">R286*10</f>
        <v>0</v>
      </c>
      <c r="T286" s="14"/>
      <c r="U286" s="15">
        <f t="shared" ref="U286:U293" si="905">T286*-15</f>
        <v>0</v>
      </c>
      <c r="V286" s="16">
        <f t="shared" ref="V286:V293" si="906">IF(AND(R286=2),10,IF(R286=3,30,IF(R286=4,50,IF(R286=5,70,0))))</f>
        <v>0</v>
      </c>
      <c r="W286" s="17">
        <f t="shared" ref="W286:W293" si="907">IF(G286="x",H286+J286+L286+N286+O286+P286+Q286+S286+U286+V286,0)</f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8</v>
      </c>
      <c r="D287" s="21" t="str">
        <f>Spieltag!B274</f>
        <v>Leandro Barreiro (A)</v>
      </c>
      <c r="E287" s="12" t="str">
        <f>Spieltag!C274</f>
        <v>Mittelfeld</v>
      </c>
      <c r="F287" s="13" t="s">
        <v>88</v>
      </c>
      <c r="G287" s="14"/>
      <c r="H287" s="15">
        <f t="shared" si="899"/>
        <v>0</v>
      </c>
      <c r="I287" s="14"/>
      <c r="J287" s="15">
        <f t="shared" si="900"/>
        <v>0</v>
      </c>
      <c r="K287" s="14"/>
      <c r="L287" s="15">
        <f t="shared" si="901"/>
        <v>0</v>
      </c>
      <c r="M287" s="14"/>
      <c r="N287" s="15">
        <f t="shared" si="902"/>
        <v>0</v>
      </c>
      <c r="O287" s="16">
        <f t="shared" si="858"/>
        <v>0</v>
      </c>
      <c r="P287" s="16">
        <f t="shared" si="859"/>
        <v>-5</v>
      </c>
      <c r="Q287" s="16">
        <f t="shared" si="903"/>
        <v>-10</v>
      </c>
      <c r="R287" s="14"/>
      <c r="S287" s="15">
        <f t="shared" si="904"/>
        <v>0</v>
      </c>
      <c r="T287" s="14"/>
      <c r="U287" s="15">
        <f t="shared" si="905"/>
        <v>0</v>
      </c>
      <c r="V287" s="16">
        <f t="shared" si="906"/>
        <v>0</v>
      </c>
      <c r="W287" s="17">
        <f t="shared" si="907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10</v>
      </c>
      <c r="D288" s="21" t="str">
        <f>Spieltag!B275</f>
        <v>Marco Richter</v>
      </c>
      <c r="E288" s="12" t="str">
        <f>Spieltag!C275</f>
        <v>Mittelfeld</v>
      </c>
      <c r="F288" s="13" t="s">
        <v>88</v>
      </c>
      <c r="G288" s="14"/>
      <c r="H288" s="15">
        <f t="shared" ref="H288" si="908">IF(G288="x",10,0)</f>
        <v>0</v>
      </c>
      <c r="I288" s="14"/>
      <c r="J288" s="15">
        <f t="shared" ref="J288" si="909">IF((I288="x"),-10,0)</f>
        <v>0</v>
      </c>
      <c r="K288" s="14"/>
      <c r="L288" s="15">
        <f t="shared" ref="L288" si="910">IF((K288="x"),-20,0)</f>
        <v>0</v>
      </c>
      <c r="M288" s="14"/>
      <c r="N288" s="15">
        <f t="shared" ref="N288" si="911">IF((M288="x"),-30,0)</f>
        <v>0</v>
      </c>
      <c r="O288" s="16">
        <f t="shared" si="858"/>
        <v>0</v>
      </c>
      <c r="P288" s="16">
        <f t="shared" si="859"/>
        <v>-5</v>
      </c>
      <c r="Q288" s="16">
        <f t="shared" si="903"/>
        <v>-10</v>
      </c>
      <c r="R288" s="14"/>
      <c r="S288" s="15">
        <f t="shared" ref="S288" si="912">R288*10</f>
        <v>0</v>
      </c>
      <c r="T288" s="14"/>
      <c r="U288" s="15">
        <f t="shared" ref="U288" si="913">T288*-15</f>
        <v>0</v>
      </c>
      <c r="V288" s="16">
        <f t="shared" ref="V288" si="914">IF(AND(R288=2),10,IF(R288=3,30,IF(R288=4,50,IF(R288=5,70,0))))</f>
        <v>0</v>
      </c>
      <c r="W288" s="17">
        <f t="shared" ref="W288" si="915">IF(G288="x",H288+J288+L288+N288+O288+P288+Q288+S288+U288+V288,0)</f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14</v>
      </c>
      <c r="D289" s="21" t="str">
        <f>Spieltag!B276</f>
        <v>Tom Krauss</v>
      </c>
      <c r="E289" s="12" t="str">
        <f>Spieltag!C276</f>
        <v>Mittelfeld</v>
      </c>
      <c r="F289" s="13" t="s">
        <v>88</v>
      </c>
      <c r="G289" s="14"/>
      <c r="H289" s="15">
        <f t="shared" si="899"/>
        <v>0</v>
      </c>
      <c r="I289" s="14"/>
      <c r="J289" s="15">
        <f t="shared" si="900"/>
        <v>0</v>
      </c>
      <c r="K289" s="14"/>
      <c r="L289" s="15">
        <f t="shared" si="901"/>
        <v>0</v>
      </c>
      <c r="M289" s="14"/>
      <c r="N289" s="15">
        <f t="shared" si="902"/>
        <v>0</v>
      </c>
      <c r="O289" s="16">
        <f t="shared" si="858"/>
        <v>0</v>
      </c>
      <c r="P289" s="16">
        <f t="shared" si="859"/>
        <v>-5</v>
      </c>
      <c r="Q289" s="16">
        <f t="shared" si="903"/>
        <v>-10</v>
      </c>
      <c r="R289" s="14"/>
      <c r="S289" s="15">
        <f t="shared" si="904"/>
        <v>0</v>
      </c>
      <c r="T289" s="14"/>
      <c r="U289" s="15">
        <f t="shared" si="905"/>
        <v>0</v>
      </c>
      <c r="V289" s="16">
        <f t="shared" si="906"/>
        <v>0</v>
      </c>
      <c r="W289" s="17">
        <f t="shared" si="907"/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24</v>
      </c>
      <c r="D290" s="21" t="str">
        <f>Spieltag!B277</f>
        <v>Merveille Papela</v>
      </c>
      <c r="E290" s="12" t="str">
        <f>Spieltag!C277</f>
        <v>Mittelfeld</v>
      </c>
      <c r="F290" s="13" t="s">
        <v>88</v>
      </c>
      <c r="G290" s="14"/>
      <c r="H290" s="15">
        <f t="shared" ref="H290" si="916">IF(G290="x",10,0)</f>
        <v>0</v>
      </c>
      <c r="I290" s="14"/>
      <c r="J290" s="15">
        <f t="shared" ref="J290" si="917">IF((I290="x"),-10,0)</f>
        <v>0</v>
      </c>
      <c r="K290" s="14"/>
      <c r="L290" s="15">
        <f t="shared" ref="L290" si="918">IF((K290="x"),-20,0)</f>
        <v>0</v>
      </c>
      <c r="M290" s="14"/>
      <c r="N290" s="15">
        <f t="shared" ref="N290" si="919">IF((M290="x"),-30,0)</f>
        <v>0</v>
      </c>
      <c r="O290" s="16">
        <f t="shared" si="858"/>
        <v>0</v>
      </c>
      <c r="P290" s="16">
        <f t="shared" si="859"/>
        <v>-5</v>
      </c>
      <c r="Q290" s="16">
        <f t="shared" si="903"/>
        <v>-10</v>
      </c>
      <c r="R290" s="14"/>
      <c r="S290" s="15">
        <f t="shared" ref="S290" si="920">R290*10</f>
        <v>0</v>
      </c>
      <c r="T290" s="14"/>
      <c r="U290" s="15">
        <f t="shared" ref="U290" si="921">T290*-15</f>
        <v>0</v>
      </c>
      <c r="V290" s="16">
        <f t="shared" ref="V290" si="922">IF(AND(R290=2),10,IF(R290=3,30,IF(R290=4,50,IF(R290=5,70,0))))</f>
        <v>0</v>
      </c>
      <c r="W290" s="17">
        <f t="shared" ref="W290" si="923">IF(G290="x",H290+J290+L290+N290+O290+P290+Q290+S290+U290+V290,0)</f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31</v>
      </c>
      <c r="D291" s="21" t="str">
        <f>Spieltag!B278</f>
        <v>Dominik Kohr</v>
      </c>
      <c r="E291" s="12" t="str">
        <f>Spieltag!C278</f>
        <v>Mittelfeld</v>
      </c>
      <c r="F291" s="13" t="s">
        <v>88</v>
      </c>
      <c r="G291" s="14"/>
      <c r="H291" s="15">
        <f t="shared" si="899"/>
        <v>0</v>
      </c>
      <c r="I291" s="14"/>
      <c r="J291" s="15">
        <f t="shared" si="900"/>
        <v>0</v>
      </c>
      <c r="K291" s="14"/>
      <c r="L291" s="15">
        <f t="shared" si="901"/>
        <v>0</v>
      </c>
      <c r="M291" s="14"/>
      <c r="N291" s="15">
        <f t="shared" si="902"/>
        <v>0</v>
      </c>
      <c r="O291" s="16">
        <f t="shared" si="858"/>
        <v>0</v>
      </c>
      <c r="P291" s="16">
        <f t="shared" si="859"/>
        <v>-5</v>
      </c>
      <c r="Q291" s="16">
        <f t="shared" si="903"/>
        <v>-10</v>
      </c>
      <c r="R291" s="14"/>
      <c r="S291" s="15">
        <f t="shared" si="904"/>
        <v>0</v>
      </c>
      <c r="T291" s="14"/>
      <c r="U291" s="15">
        <f t="shared" si="905"/>
        <v>0</v>
      </c>
      <c r="V291" s="16">
        <f t="shared" si="906"/>
        <v>0</v>
      </c>
      <c r="W291" s="17">
        <f t="shared" si="907"/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41</v>
      </c>
      <c r="D292" s="21" t="str">
        <f>Spieltag!B279</f>
        <v>Eniss Shabani</v>
      </c>
      <c r="E292" s="12" t="str">
        <f>Spieltag!C279</f>
        <v>Mittelfeld</v>
      </c>
      <c r="F292" s="13" t="s">
        <v>88</v>
      </c>
      <c r="G292" s="14"/>
      <c r="H292" s="15">
        <f t="shared" si="899"/>
        <v>0</v>
      </c>
      <c r="I292" s="14"/>
      <c r="J292" s="15">
        <f t="shared" si="900"/>
        <v>0</v>
      </c>
      <c r="K292" s="14"/>
      <c r="L292" s="15">
        <f t="shared" si="901"/>
        <v>0</v>
      </c>
      <c r="M292" s="14"/>
      <c r="N292" s="15">
        <f t="shared" si="902"/>
        <v>0</v>
      </c>
      <c r="O292" s="16">
        <f t="shared" si="858"/>
        <v>0</v>
      </c>
      <c r="P292" s="16">
        <f t="shared" si="859"/>
        <v>-5</v>
      </c>
      <c r="Q292" s="16">
        <f t="shared" si="903"/>
        <v>-10</v>
      </c>
      <c r="R292" s="14"/>
      <c r="S292" s="15">
        <f t="shared" si="904"/>
        <v>0</v>
      </c>
      <c r="T292" s="14"/>
      <c r="U292" s="15">
        <f t="shared" si="905"/>
        <v>0</v>
      </c>
      <c r="V292" s="16">
        <f t="shared" si="906"/>
        <v>0</v>
      </c>
      <c r="W292" s="17">
        <f t="shared" si="907"/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45</v>
      </c>
      <c r="D293" s="21" t="str">
        <f>Spieltag!B280</f>
        <v>David Mamutovic</v>
      </c>
      <c r="E293" s="12" t="str">
        <f>Spieltag!C280</f>
        <v>Mittelfeld</v>
      </c>
      <c r="F293" s="13" t="s">
        <v>88</v>
      </c>
      <c r="G293" s="14"/>
      <c r="H293" s="15">
        <f t="shared" si="899"/>
        <v>0</v>
      </c>
      <c r="I293" s="14"/>
      <c r="J293" s="15">
        <f t="shared" si="900"/>
        <v>0</v>
      </c>
      <c r="K293" s="14"/>
      <c r="L293" s="15">
        <f t="shared" si="901"/>
        <v>0</v>
      </c>
      <c r="M293" s="14"/>
      <c r="N293" s="15">
        <f t="shared" si="902"/>
        <v>0</v>
      </c>
      <c r="O293" s="16">
        <f t="shared" si="858"/>
        <v>0</v>
      </c>
      <c r="P293" s="16">
        <f t="shared" si="859"/>
        <v>-5</v>
      </c>
      <c r="Q293" s="16">
        <f t="shared" si="903"/>
        <v>-10</v>
      </c>
      <c r="R293" s="14"/>
      <c r="S293" s="15">
        <f t="shared" si="904"/>
        <v>0</v>
      </c>
      <c r="T293" s="14"/>
      <c r="U293" s="15">
        <f t="shared" si="905"/>
        <v>0</v>
      </c>
      <c r="V293" s="16">
        <f t="shared" si="906"/>
        <v>0</v>
      </c>
      <c r="W293" s="17">
        <f t="shared" si="907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9</v>
      </c>
      <c r="D294" s="21" t="str">
        <f>Spieltag!B281</f>
        <v>Karim Onisiwo (A)</v>
      </c>
      <c r="E294" s="12" t="str">
        <f>Spieltag!C281</f>
        <v>Sturm</v>
      </c>
      <c r="F294" s="13" t="s">
        <v>88</v>
      </c>
      <c r="G294" s="14"/>
      <c r="H294" s="15">
        <f>IF(G294="x",10,0)</f>
        <v>0</v>
      </c>
      <c r="I294" s="14"/>
      <c r="J294" s="15">
        <f>IF((I294="x"),-10,0)</f>
        <v>0</v>
      </c>
      <c r="K294" s="14"/>
      <c r="L294" s="15">
        <f>IF((K294="x"),-20,0)</f>
        <v>0</v>
      </c>
      <c r="M294" s="14"/>
      <c r="N294" s="15">
        <f>IF((M294="x"),-30,0)</f>
        <v>0</v>
      </c>
      <c r="O294" s="16">
        <f t="shared" si="858"/>
        <v>0</v>
      </c>
      <c r="P294" s="16">
        <f t="shared" si="859"/>
        <v>-5</v>
      </c>
      <c r="Q294" s="16">
        <f>IF(($W$10&lt;&gt;0),$W$10*-10,5)</f>
        <v>-10</v>
      </c>
      <c r="R294" s="14"/>
      <c r="S294" s="15">
        <f>R294*10</f>
        <v>0</v>
      </c>
      <c r="T294" s="14"/>
      <c r="U294" s="15">
        <f>T294*-15</f>
        <v>0</v>
      </c>
      <c r="V294" s="16">
        <f>IF(AND(R294=2),10,IF(R294=3,30,IF(R294=4,50,IF(R294=5,70,0))))</f>
        <v>0</v>
      </c>
      <c r="W294" s="17">
        <f>IF(G294="x",H294+J294+L294+N294+O294+P294+Q294+S294+U294+V294,0)</f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17</v>
      </c>
      <c r="D295" s="21" t="str">
        <f>Spieltag!B282</f>
        <v>Ludovic Ajorque (A)</v>
      </c>
      <c r="E295" s="12" t="str">
        <f>Spieltag!C282</f>
        <v>Sturm</v>
      </c>
      <c r="F295" s="13" t="s">
        <v>88</v>
      </c>
      <c r="G295" s="14"/>
      <c r="H295" s="15">
        <f t="shared" ref="H295:H300" si="924">IF(G295="x",10,0)</f>
        <v>0</v>
      </c>
      <c r="I295" s="14"/>
      <c r="J295" s="15">
        <f t="shared" ref="J295:J300" si="925">IF((I295="x"),-10,0)</f>
        <v>0</v>
      </c>
      <c r="K295" s="14"/>
      <c r="L295" s="15">
        <f t="shared" ref="L295:L300" si="926">IF((K295="x"),-20,0)</f>
        <v>0</v>
      </c>
      <c r="M295" s="14"/>
      <c r="N295" s="15">
        <f t="shared" ref="N295:N300" si="927">IF((M295="x"),-30,0)</f>
        <v>0</v>
      </c>
      <c r="O295" s="16">
        <f t="shared" si="858"/>
        <v>0</v>
      </c>
      <c r="P295" s="16">
        <f t="shared" si="859"/>
        <v>-5</v>
      </c>
      <c r="Q295" s="16">
        <f t="shared" ref="Q295:Q300" si="928">IF(($W$10&lt;&gt;0),$W$10*-10,5)</f>
        <v>-10</v>
      </c>
      <c r="R295" s="14"/>
      <c r="S295" s="15">
        <f t="shared" ref="S295:S300" si="929">R295*10</f>
        <v>0</v>
      </c>
      <c r="T295" s="14"/>
      <c r="U295" s="15">
        <f t="shared" ref="U295:U300" si="930">T295*-15</f>
        <v>0</v>
      </c>
      <c r="V295" s="16">
        <f t="shared" ref="V295:V300" si="931">IF(AND(R295=2),10,IF(R295=3,30,IF(R295=4,50,IF(R295=5,70,0))))</f>
        <v>0</v>
      </c>
      <c r="W295" s="17">
        <f t="shared" ref="W295:W300" si="932">IF(G295="x",H295+J295+L295+N295+O295+P295+Q295+S295+U295+V295,0)</f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29</v>
      </c>
      <c r="D296" s="21" t="str">
        <f>Spieltag!B283</f>
        <v>Jonathan Burkardt</v>
      </c>
      <c r="E296" s="12" t="str">
        <f>Spieltag!C283</f>
        <v>Sturm</v>
      </c>
      <c r="F296" s="13" t="s">
        <v>88</v>
      </c>
      <c r="G296" s="14"/>
      <c r="H296" s="15">
        <f t="shared" ref="H296:H297" si="933">IF(G296="x",10,0)</f>
        <v>0</v>
      </c>
      <c r="I296" s="14"/>
      <c r="J296" s="15">
        <f t="shared" ref="J296:J297" si="934">IF((I296="x"),-10,0)</f>
        <v>0</v>
      </c>
      <c r="K296" s="14"/>
      <c r="L296" s="15">
        <f t="shared" ref="L296:L297" si="935">IF((K296="x"),-20,0)</f>
        <v>0</v>
      </c>
      <c r="M296" s="14"/>
      <c r="N296" s="15">
        <f t="shared" ref="N296:N297" si="936">IF((M296="x"),-30,0)</f>
        <v>0</v>
      </c>
      <c r="O296" s="16">
        <f t="shared" si="858"/>
        <v>0</v>
      </c>
      <c r="P296" s="16">
        <f t="shared" si="859"/>
        <v>-5</v>
      </c>
      <c r="Q296" s="16">
        <f t="shared" si="928"/>
        <v>-10</v>
      </c>
      <c r="R296" s="14"/>
      <c r="S296" s="15">
        <f t="shared" ref="S296:S297" si="937">R296*10</f>
        <v>0</v>
      </c>
      <c r="T296" s="14"/>
      <c r="U296" s="15">
        <f t="shared" ref="U296:U297" si="938">T296*-15</f>
        <v>0</v>
      </c>
      <c r="V296" s="16">
        <f t="shared" ref="V296:V297" si="939">IF(AND(R296=2),10,IF(R296=3,30,IF(R296=4,50,IF(R296=5,70,0))))</f>
        <v>0</v>
      </c>
      <c r="W296" s="17">
        <f t="shared" ref="W296:W297" si="940">IF(G296="x",H296+J296+L296+N296+O296+P296+Q296+S296+U296+V296,0)</f>
        <v>0</v>
      </c>
    </row>
    <row r="297" spans="1:23" ht="10.5" hidden="1" customHeight="1" x14ac:dyDescent="0.2">
      <c r="A297" s="11"/>
      <c r="B297" s="149">
        <f>COUNTA(Spieltag!K284:AA284)</f>
        <v>0</v>
      </c>
      <c r="C297" s="166">
        <f>Spieltag!A284</f>
        <v>34</v>
      </c>
      <c r="D297" s="21" t="str">
        <f>Spieltag!B284</f>
        <v>Anwar El Ghazi (A)</v>
      </c>
      <c r="E297" s="12" t="str">
        <f>Spieltag!C284</f>
        <v>Sturm</v>
      </c>
      <c r="F297" s="13" t="s">
        <v>88</v>
      </c>
      <c r="G297" s="14"/>
      <c r="H297" s="15">
        <f t="shared" si="933"/>
        <v>0</v>
      </c>
      <c r="I297" s="14"/>
      <c r="J297" s="15">
        <f t="shared" si="934"/>
        <v>0</v>
      </c>
      <c r="K297" s="14"/>
      <c r="L297" s="15">
        <f t="shared" si="935"/>
        <v>0</v>
      </c>
      <c r="M297" s="14"/>
      <c r="N297" s="15">
        <f t="shared" si="936"/>
        <v>0</v>
      </c>
      <c r="O297" s="16">
        <f t="shared" si="858"/>
        <v>0</v>
      </c>
      <c r="P297" s="16">
        <f t="shared" si="859"/>
        <v>-5</v>
      </c>
      <c r="Q297" s="16">
        <f t="shared" si="928"/>
        <v>-10</v>
      </c>
      <c r="R297" s="14"/>
      <c r="S297" s="15">
        <f t="shared" si="937"/>
        <v>0</v>
      </c>
      <c r="T297" s="14"/>
      <c r="U297" s="15">
        <f t="shared" si="938"/>
        <v>0</v>
      </c>
      <c r="V297" s="16">
        <f t="shared" si="939"/>
        <v>0</v>
      </c>
      <c r="W297" s="17">
        <f t="shared" si="940"/>
        <v>0</v>
      </c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43</v>
      </c>
      <c r="D298" s="21" t="str">
        <f>Spieltag!B285</f>
        <v>Brajan Gruda</v>
      </c>
      <c r="E298" s="12" t="str">
        <f>Spieltag!C285</f>
        <v>Sturm</v>
      </c>
      <c r="F298" s="13" t="s">
        <v>88</v>
      </c>
      <c r="G298" s="14"/>
      <c r="H298" s="15">
        <f t="shared" si="924"/>
        <v>0</v>
      </c>
      <c r="I298" s="14"/>
      <c r="J298" s="15">
        <f t="shared" si="925"/>
        <v>0</v>
      </c>
      <c r="K298" s="14"/>
      <c r="L298" s="15">
        <f t="shared" si="926"/>
        <v>0</v>
      </c>
      <c r="M298" s="14"/>
      <c r="N298" s="15">
        <f t="shared" si="927"/>
        <v>0</v>
      </c>
      <c r="O298" s="16">
        <f t="shared" si="858"/>
        <v>0</v>
      </c>
      <c r="P298" s="16">
        <f t="shared" si="859"/>
        <v>-5</v>
      </c>
      <c r="Q298" s="16">
        <f t="shared" si="928"/>
        <v>-10</v>
      </c>
      <c r="R298" s="14"/>
      <c r="S298" s="15">
        <f t="shared" si="929"/>
        <v>0</v>
      </c>
      <c r="T298" s="14"/>
      <c r="U298" s="15">
        <f t="shared" si="930"/>
        <v>0</v>
      </c>
      <c r="V298" s="16">
        <f t="shared" si="931"/>
        <v>0</v>
      </c>
      <c r="W298" s="17">
        <f t="shared" si="932"/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44</v>
      </c>
      <c r="D299" s="21" t="str">
        <f>Spieltag!B286</f>
        <v>Nelson Weiper</v>
      </c>
      <c r="E299" s="12" t="str">
        <f>Spieltag!C286</f>
        <v>Sturm</v>
      </c>
      <c r="F299" s="13" t="s">
        <v>88</v>
      </c>
      <c r="G299" s="14"/>
      <c r="H299" s="15">
        <f t="shared" ref="H299" si="941">IF(G299="x",10,0)</f>
        <v>0</v>
      </c>
      <c r="I299" s="14"/>
      <c r="J299" s="15">
        <f t="shared" ref="J299" si="942">IF((I299="x"),-10,0)</f>
        <v>0</v>
      </c>
      <c r="K299" s="14"/>
      <c r="L299" s="15">
        <f t="shared" ref="L299" si="943">IF((K299="x"),-20,0)</f>
        <v>0</v>
      </c>
      <c r="M299" s="14"/>
      <c r="N299" s="15">
        <f t="shared" ref="N299" si="944">IF((M299="x"),-30,0)</f>
        <v>0</v>
      </c>
      <c r="O299" s="16">
        <f t="shared" si="858"/>
        <v>0</v>
      </c>
      <c r="P299" s="16">
        <f t="shared" si="859"/>
        <v>-5</v>
      </c>
      <c r="Q299" s="16">
        <f t="shared" si="928"/>
        <v>-10</v>
      </c>
      <c r="R299" s="14"/>
      <c r="S299" s="15">
        <f t="shared" ref="S299" si="945">R299*10</f>
        <v>0</v>
      </c>
      <c r="T299" s="14"/>
      <c r="U299" s="15">
        <f t="shared" ref="U299" si="946">T299*-15</f>
        <v>0</v>
      </c>
      <c r="V299" s="16">
        <f t="shared" ref="V299" si="947">IF(AND(R299=2),10,IF(R299=3,30,IF(R299=4,50,IF(R299=5,70,0))))</f>
        <v>0</v>
      </c>
      <c r="W299" s="17">
        <f t="shared" ref="W299" si="948"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48</v>
      </c>
      <c r="D300" s="21" t="str">
        <f>Spieltag!B287</f>
        <v>Marcel Müller</v>
      </c>
      <c r="E300" s="12" t="str">
        <f>Spieltag!C287</f>
        <v>Sturm</v>
      </c>
      <c r="F300" s="13" t="s">
        <v>88</v>
      </c>
      <c r="G300" s="14"/>
      <c r="H300" s="15">
        <f t="shared" si="924"/>
        <v>0</v>
      </c>
      <c r="I300" s="14"/>
      <c r="J300" s="15">
        <f t="shared" si="925"/>
        <v>0</v>
      </c>
      <c r="K300" s="14"/>
      <c r="L300" s="15">
        <f t="shared" si="926"/>
        <v>0</v>
      </c>
      <c r="M300" s="14"/>
      <c r="N300" s="15">
        <f t="shared" si="927"/>
        <v>0</v>
      </c>
      <c r="O300" s="16">
        <f t="shared" si="858"/>
        <v>0</v>
      </c>
      <c r="P300" s="16">
        <f t="shared" si="859"/>
        <v>-5</v>
      </c>
      <c r="Q300" s="16">
        <f t="shared" si="928"/>
        <v>-10</v>
      </c>
      <c r="R300" s="14"/>
      <c r="S300" s="15">
        <f t="shared" si="929"/>
        <v>0</v>
      </c>
      <c r="T300" s="14"/>
      <c r="U300" s="15">
        <f t="shared" si="930"/>
        <v>0</v>
      </c>
      <c r="V300" s="16">
        <f t="shared" si="931"/>
        <v>0</v>
      </c>
      <c r="W300" s="17">
        <f t="shared" si="932"/>
        <v>0</v>
      </c>
    </row>
    <row r="301" spans="1:23" s="144" customFormat="1" ht="17.25" hidden="1" thickBot="1" x14ac:dyDescent="0.25">
      <c r="A301" s="142"/>
      <c r="B301" s="143">
        <f>SUM(B302:B331)</f>
        <v>0</v>
      </c>
      <c r="C301" s="158"/>
      <c r="D301" s="234" t="s">
        <v>73</v>
      </c>
      <c r="E301" s="234"/>
      <c r="F301" s="234"/>
      <c r="G301" s="234"/>
      <c r="H301" s="234"/>
      <c r="I301" s="234"/>
      <c r="J301" s="234"/>
      <c r="K301" s="234"/>
      <c r="L301" s="234"/>
      <c r="M301" s="234"/>
      <c r="N301" s="234"/>
      <c r="O301" s="234"/>
      <c r="P301" s="234"/>
      <c r="Q301" s="234"/>
      <c r="R301" s="234"/>
      <c r="S301" s="234"/>
      <c r="T301" s="234"/>
      <c r="U301" s="234"/>
      <c r="V301" s="234"/>
      <c r="W301" s="235"/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1</v>
      </c>
      <c r="D302" s="21" t="str">
        <f>Spieltag!B289</f>
        <v>Jonas Omlin (A)</v>
      </c>
      <c r="E302" s="12" t="str">
        <f>Spieltag!C289</f>
        <v>Torwart</v>
      </c>
      <c r="F302" s="13" t="s">
        <v>76</v>
      </c>
      <c r="G302" s="14"/>
      <c r="H302" s="15">
        <f>IF(G302="x",10,0)</f>
        <v>0</v>
      </c>
      <c r="I302" s="14"/>
      <c r="J302" s="15">
        <f>IF((I302="x"),-10,0)</f>
        <v>0</v>
      </c>
      <c r="K302" s="14"/>
      <c r="L302" s="15">
        <f>IF((K302="x"),-20,0)</f>
        <v>0</v>
      </c>
      <c r="M302" s="14"/>
      <c r="N302" s="15">
        <f>IF((M302="x"),-30,0)</f>
        <v>0</v>
      </c>
      <c r="O302" s="16">
        <f>IF(AND($V$11&gt;$W$11),20,IF($V$11=$W$11,10,0))</f>
        <v>0</v>
      </c>
      <c r="P302" s="16">
        <f>IF(($V$11&lt;&gt;0),$V$11*10,-5)</f>
        <v>10</v>
      </c>
      <c r="Q302" s="16">
        <f>IF(($W$11&lt;&gt;0),$W$11*-10,20)</f>
        <v>-30</v>
      </c>
      <c r="R302" s="14"/>
      <c r="S302" s="15">
        <f>R302*20</f>
        <v>0</v>
      </c>
      <c r="T302" s="14"/>
      <c r="U302" s="15">
        <f>T302*-15</f>
        <v>0</v>
      </c>
      <c r="V302" s="16">
        <f>IF(AND(R302=2),10,IF(R302=3,30,IF(R302=4,50,IF(R302=5,70,0))))</f>
        <v>0</v>
      </c>
      <c r="W302" s="17">
        <f>IF(G302="x",H302+J302+L302+N302+O302+P302+Q302+S302+U302+V302,0)</f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21</v>
      </c>
      <c r="D303" s="21" t="str">
        <f>Spieltag!B290</f>
        <v>Tobias Sippel</v>
      </c>
      <c r="E303" s="12" t="str">
        <f>Spieltag!C290</f>
        <v>Torwart</v>
      </c>
      <c r="F303" s="13" t="s">
        <v>76</v>
      </c>
      <c r="G303" s="14"/>
      <c r="H303" s="15">
        <f t="shared" ref="H303:H306" si="949">IF(G303="x",10,0)</f>
        <v>0</v>
      </c>
      <c r="I303" s="14"/>
      <c r="J303" s="15">
        <f t="shared" ref="J303:J306" si="950">IF((I303="x"),-10,0)</f>
        <v>0</v>
      </c>
      <c r="K303" s="14"/>
      <c r="L303" s="15">
        <f t="shared" ref="L303:L306" si="951">IF((K303="x"),-20,0)</f>
        <v>0</v>
      </c>
      <c r="M303" s="14"/>
      <c r="N303" s="15">
        <f t="shared" ref="N303:N306" si="952">IF((M303="x"),-30,0)</f>
        <v>0</v>
      </c>
      <c r="O303" s="16">
        <f t="shared" ref="O303:O306" si="953">IF(AND($V$11&gt;$W$11),20,IF($V$11=$W$11,10,0))</f>
        <v>0</v>
      </c>
      <c r="P303" s="16">
        <f t="shared" ref="P303:P306" si="954">IF(($V$11&lt;&gt;0),$V$11*10,-5)</f>
        <v>10</v>
      </c>
      <c r="Q303" s="16">
        <f t="shared" ref="Q303:Q306" si="955">IF(($W$11&lt;&gt;0),$W$11*-10,20)</f>
        <v>-30</v>
      </c>
      <c r="R303" s="14"/>
      <c r="S303" s="15">
        <f t="shared" ref="S303:S306" si="956">R303*20</f>
        <v>0</v>
      </c>
      <c r="T303" s="14"/>
      <c r="U303" s="15">
        <f t="shared" ref="U303:U306" si="957">T303*-15</f>
        <v>0</v>
      </c>
      <c r="V303" s="16">
        <f t="shared" ref="V303:V306" si="958">IF(AND(R303=2),10,IF(R303=3,30,IF(R303=4,50,IF(R303=5,70,0))))</f>
        <v>0</v>
      </c>
      <c r="W303" s="17">
        <f t="shared" ref="W303:W306" si="959">IF(G303="x",H303+J303+L303+N303+O303+P303+Q303+S303+U303+V303,0)</f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33</v>
      </c>
      <c r="D304" s="21" t="str">
        <f>Spieltag!B291</f>
        <v>Moritz Nicolas</v>
      </c>
      <c r="E304" s="12" t="str">
        <f>Spieltag!C291</f>
        <v>Torwart</v>
      </c>
      <c r="F304" s="13" t="s">
        <v>76</v>
      </c>
      <c r="G304" s="14"/>
      <c r="H304" s="15">
        <f t="shared" si="949"/>
        <v>0</v>
      </c>
      <c r="I304" s="14"/>
      <c r="J304" s="15">
        <f t="shared" si="950"/>
        <v>0</v>
      </c>
      <c r="K304" s="14"/>
      <c r="L304" s="15">
        <f t="shared" si="951"/>
        <v>0</v>
      </c>
      <c r="M304" s="14"/>
      <c r="N304" s="15">
        <f t="shared" si="952"/>
        <v>0</v>
      </c>
      <c r="O304" s="16">
        <f t="shared" si="953"/>
        <v>0</v>
      </c>
      <c r="P304" s="16">
        <f t="shared" si="954"/>
        <v>10</v>
      </c>
      <c r="Q304" s="16">
        <f t="shared" si="955"/>
        <v>-30</v>
      </c>
      <c r="R304" s="14"/>
      <c r="S304" s="15">
        <f t="shared" si="956"/>
        <v>0</v>
      </c>
      <c r="T304" s="14"/>
      <c r="U304" s="15">
        <f t="shared" si="957"/>
        <v>0</v>
      </c>
      <c r="V304" s="16">
        <f t="shared" si="958"/>
        <v>0</v>
      </c>
      <c r="W304" s="17">
        <f t="shared" si="959"/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41</v>
      </c>
      <c r="D305" s="21" t="str">
        <f>Spieltag!B292</f>
        <v>Jan Olschowsky</v>
      </c>
      <c r="E305" s="12" t="str">
        <f>Spieltag!C292</f>
        <v>Torwart</v>
      </c>
      <c r="F305" s="13" t="s">
        <v>76</v>
      </c>
      <c r="G305" s="14"/>
      <c r="H305" s="15">
        <f t="shared" ref="H305" si="960">IF(G305="x",10,0)</f>
        <v>0</v>
      </c>
      <c r="I305" s="14"/>
      <c r="J305" s="15">
        <f t="shared" ref="J305" si="961">IF((I305="x"),-10,0)</f>
        <v>0</v>
      </c>
      <c r="K305" s="14"/>
      <c r="L305" s="15">
        <f t="shared" ref="L305" si="962">IF((K305="x"),-20,0)</f>
        <v>0</v>
      </c>
      <c r="M305" s="14"/>
      <c r="N305" s="15">
        <f t="shared" ref="N305" si="963">IF((M305="x"),-30,0)</f>
        <v>0</v>
      </c>
      <c r="O305" s="16">
        <f t="shared" si="953"/>
        <v>0</v>
      </c>
      <c r="P305" s="16">
        <f t="shared" si="954"/>
        <v>10</v>
      </c>
      <c r="Q305" s="16">
        <f t="shared" si="955"/>
        <v>-30</v>
      </c>
      <c r="R305" s="14"/>
      <c r="S305" s="15">
        <f t="shared" ref="S305" si="964">R305*20</f>
        <v>0</v>
      </c>
      <c r="T305" s="14"/>
      <c r="U305" s="15">
        <f t="shared" ref="U305" si="965">T305*-15</f>
        <v>0</v>
      </c>
      <c r="V305" s="16">
        <f t="shared" ref="V305" si="966">IF(AND(R305=2),10,IF(R305=3,30,IF(R305=4,50,IF(R305=5,70,0))))</f>
        <v>0</v>
      </c>
      <c r="W305" s="17">
        <f t="shared" ref="W305" si="967">IF(G305="x",H305+J305+L305+N305+O305+P305+Q305+S305+U305+V305,0)</f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43</v>
      </c>
      <c r="D306" s="21" t="str">
        <f>Spieltag!B293</f>
        <v>Max Brüll</v>
      </c>
      <c r="E306" s="12" t="str">
        <f>Spieltag!C293</f>
        <v>Torwart</v>
      </c>
      <c r="F306" s="13" t="s">
        <v>76</v>
      </c>
      <c r="G306" s="14"/>
      <c r="H306" s="15">
        <f t="shared" si="949"/>
        <v>0</v>
      </c>
      <c r="I306" s="14"/>
      <c r="J306" s="15">
        <f t="shared" si="950"/>
        <v>0</v>
      </c>
      <c r="K306" s="14"/>
      <c r="L306" s="15">
        <f t="shared" si="951"/>
        <v>0</v>
      </c>
      <c r="M306" s="14"/>
      <c r="N306" s="15">
        <f t="shared" si="952"/>
        <v>0</v>
      </c>
      <c r="O306" s="16">
        <f t="shared" si="953"/>
        <v>0</v>
      </c>
      <c r="P306" s="16">
        <f t="shared" si="954"/>
        <v>10</v>
      </c>
      <c r="Q306" s="16">
        <f t="shared" si="955"/>
        <v>-30</v>
      </c>
      <c r="R306" s="14"/>
      <c r="S306" s="15">
        <f t="shared" si="956"/>
        <v>0</v>
      </c>
      <c r="T306" s="14"/>
      <c r="U306" s="15">
        <f t="shared" si="957"/>
        <v>0</v>
      </c>
      <c r="V306" s="16">
        <f t="shared" si="958"/>
        <v>0</v>
      </c>
      <c r="W306" s="17">
        <f t="shared" si="959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</v>
      </c>
      <c r="D307" s="21" t="str">
        <f>Spieltag!B294</f>
        <v>Fabio Chiarodia</v>
      </c>
      <c r="E307" s="12" t="str">
        <f>Spieltag!C294</f>
        <v>Abwehr</v>
      </c>
      <c r="F307" s="13" t="s">
        <v>76</v>
      </c>
      <c r="G307" s="14"/>
      <c r="H307" s="15">
        <f t="shared" ref="H307" si="968">IF(G307="x",10,0)</f>
        <v>0</v>
      </c>
      <c r="I307" s="14"/>
      <c r="J307" s="15">
        <f t="shared" ref="J307" si="969">IF((I307="x"),-10,0)</f>
        <v>0</v>
      </c>
      <c r="K307" s="14"/>
      <c r="L307" s="15">
        <f t="shared" ref="L307" si="970">IF((K307="x"),-20,0)</f>
        <v>0</v>
      </c>
      <c r="M307" s="14"/>
      <c r="N307" s="15">
        <f t="shared" ref="N307" si="971">IF((M307="x"),-30,0)</f>
        <v>0</v>
      </c>
      <c r="O307" s="16">
        <f t="shared" ref="O307:O317" si="972">IF(AND($V$11&gt;$W$11),20,IF($V$11=$W$11,10,0))</f>
        <v>0</v>
      </c>
      <c r="P307" s="16">
        <f t="shared" ref="P307:P317" si="973">IF(($V$11&lt;&gt;0),$V$11*10,-5)</f>
        <v>10</v>
      </c>
      <c r="Q307" s="16">
        <f t="shared" ref="Q307:Q317" si="974">IF(($W$11&lt;&gt;0),$W$11*-15,15)</f>
        <v>-45</v>
      </c>
      <c r="R307" s="14"/>
      <c r="S307" s="15">
        <f t="shared" ref="S307" si="975">R307*15</f>
        <v>0</v>
      </c>
      <c r="T307" s="14"/>
      <c r="U307" s="15">
        <f t="shared" ref="U307" si="976">T307*-15</f>
        <v>0</v>
      </c>
      <c r="V307" s="16">
        <f t="shared" ref="V307" si="977">IF(AND(R307=2),10,IF(R307=3,30,IF(R307=4,50,IF(R307=5,70,0))))</f>
        <v>0</v>
      </c>
      <c r="W307" s="17">
        <f t="shared" ref="W307" si="978">IF(G307="x",H307+J307+L307+N307+O307+P307+Q307+S307+U307+V307,0)</f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3</v>
      </c>
      <c r="D308" s="21" t="str">
        <f>Spieltag!B295</f>
        <v>Ko Itakura (A)</v>
      </c>
      <c r="E308" s="12" t="str">
        <f>Spieltag!C295</f>
        <v>Abwehr</v>
      </c>
      <c r="F308" s="13" t="s">
        <v>76</v>
      </c>
      <c r="G308" s="14"/>
      <c r="H308" s="15">
        <f t="shared" ref="H308:H317" si="979">IF(G308="x",10,0)</f>
        <v>0</v>
      </c>
      <c r="I308" s="14"/>
      <c r="J308" s="15">
        <f t="shared" ref="J308:J317" si="980">IF((I308="x"),-10,0)</f>
        <v>0</v>
      </c>
      <c r="K308" s="14"/>
      <c r="L308" s="15">
        <f t="shared" ref="L308:L317" si="981">IF((K308="x"),-20,0)</f>
        <v>0</v>
      </c>
      <c r="M308" s="14"/>
      <c r="N308" s="15">
        <f t="shared" ref="N308:N317" si="982">IF((M308="x"),-30,0)</f>
        <v>0</v>
      </c>
      <c r="O308" s="16">
        <f t="shared" si="972"/>
        <v>0</v>
      </c>
      <c r="P308" s="16">
        <f t="shared" si="973"/>
        <v>10</v>
      </c>
      <c r="Q308" s="16">
        <f t="shared" si="974"/>
        <v>-45</v>
      </c>
      <c r="R308" s="14"/>
      <c r="S308" s="15">
        <f t="shared" ref="S308:S317" si="983">R308*15</f>
        <v>0</v>
      </c>
      <c r="T308" s="14"/>
      <c r="U308" s="15">
        <f t="shared" ref="U308:U317" si="984">T308*-15</f>
        <v>0</v>
      </c>
      <c r="V308" s="16">
        <f t="shared" ref="V308:V317" si="985">IF(AND(R308=2),10,IF(R308=3,30,IF(R308=4,50,IF(R308=5,70,0))))</f>
        <v>0</v>
      </c>
      <c r="W308" s="17">
        <f t="shared" ref="W308:W317" si="986">IF(G308="x",H308+J308+L308+N308+O308+P308+Q308+S308+U308+V308,0)</f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5</v>
      </c>
      <c r="D309" s="21" t="str">
        <f>Spieltag!B296</f>
        <v>Marvin Friedrich</v>
      </c>
      <c r="E309" s="12" t="str">
        <f>Spieltag!C296</f>
        <v>Abwehr</v>
      </c>
      <c r="F309" s="13" t="s">
        <v>76</v>
      </c>
      <c r="G309" s="14"/>
      <c r="H309" s="15">
        <f t="shared" si="979"/>
        <v>0</v>
      </c>
      <c r="I309" s="14"/>
      <c r="J309" s="15">
        <f t="shared" si="980"/>
        <v>0</v>
      </c>
      <c r="K309" s="14"/>
      <c r="L309" s="15">
        <f t="shared" si="981"/>
        <v>0</v>
      </c>
      <c r="M309" s="14"/>
      <c r="N309" s="15">
        <f t="shared" si="982"/>
        <v>0</v>
      </c>
      <c r="O309" s="16">
        <f t="shared" si="972"/>
        <v>0</v>
      </c>
      <c r="P309" s="16">
        <f t="shared" si="973"/>
        <v>10</v>
      </c>
      <c r="Q309" s="16">
        <f t="shared" si="974"/>
        <v>-45</v>
      </c>
      <c r="R309" s="14"/>
      <c r="S309" s="15">
        <f t="shared" si="983"/>
        <v>0</v>
      </c>
      <c r="T309" s="14"/>
      <c r="U309" s="15">
        <f t="shared" si="984"/>
        <v>0</v>
      </c>
      <c r="V309" s="16">
        <f t="shared" si="985"/>
        <v>0</v>
      </c>
      <c r="W309" s="17">
        <f t="shared" si="986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18</v>
      </c>
      <c r="D310" s="21" t="str">
        <f>Spieltag!B297</f>
        <v>Stefan Lainer (A)</v>
      </c>
      <c r="E310" s="12" t="str">
        <f>Spieltag!C297</f>
        <v>Abwehr</v>
      </c>
      <c r="F310" s="13" t="s">
        <v>76</v>
      </c>
      <c r="G310" s="14"/>
      <c r="H310" s="15">
        <f t="shared" si="979"/>
        <v>0</v>
      </c>
      <c r="I310" s="14"/>
      <c r="J310" s="15">
        <f t="shared" si="980"/>
        <v>0</v>
      </c>
      <c r="K310" s="14"/>
      <c r="L310" s="15">
        <f t="shared" si="981"/>
        <v>0</v>
      </c>
      <c r="M310" s="14"/>
      <c r="N310" s="15">
        <f t="shared" si="982"/>
        <v>0</v>
      </c>
      <c r="O310" s="16">
        <f t="shared" si="972"/>
        <v>0</v>
      </c>
      <c r="P310" s="16">
        <f t="shared" si="973"/>
        <v>10</v>
      </c>
      <c r="Q310" s="16">
        <f t="shared" si="974"/>
        <v>-45</v>
      </c>
      <c r="R310" s="14"/>
      <c r="S310" s="15">
        <f t="shared" si="983"/>
        <v>0</v>
      </c>
      <c r="T310" s="14"/>
      <c r="U310" s="15">
        <f t="shared" si="984"/>
        <v>0</v>
      </c>
      <c r="V310" s="16">
        <f t="shared" si="985"/>
        <v>0</v>
      </c>
      <c r="W310" s="17">
        <f t="shared" si="986"/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20</v>
      </c>
      <c r="D311" s="21" t="str">
        <f>Spieltag!B298</f>
        <v>Luca Netz</v>
      </c>
      <c r="E311" s="12" t="str">
        <f>Spieltag!C298</f>
        <v>Abwehr</v>
      </c>
      <c r="F311" s="13" t="s">
        <v>76</v>
      </c>
      <c r="G311" s="14"/>
      <c r="H311" s="15">
        <f t="shared" si="979"/>
        <v>0</v>
      </c>
      <c r="I311" s="14"/>
      <c r="J311" s="15">
        <f t="shared" si="980"/>
        <v>0</v>
      </c>
      <c r="K311" s="14"/>
      <c r="L311" s="15">
        <f t="shared" si="981"/>
        <v>0</v>
      </c>
      <c r="M311" s="14"/>
      <c r="N311" s="15">
        <f t="shared" si="982"/>
        <v>0</v>
      </c>
      <c r="O311" s="16">
        <f t="shared" si="972"/>
        <v>0</v>
      </c>
      <c r="P311" s="16">
        <f t="shared" si="973"/>
        <v>10</v>
      </c>
      <c r="Q311" s="16">
        <f t="shared" si="974"/>
        <v>-45</v>
      </c>
      <c r="R311" s="14"/>
      <c r="S311" s="15">
        <f t="shared" si="983"/>
        <v>0</v>
      </c>
      <c r="T311" s="14"/>
      <c r="U311" s="15">
        <f t="shared" si="984"/>
        <v>0</v>
      </c>
      <c r="V311" s="16">
        <f t="shared" si="985"/>
        <v>0</v>
      </c>
      <c r="W311" s="17">
        <f t="shared" si="986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24</v>
      </c>
      <c r="D312" s="21" t="str">
        <f>Spieltag!B299</f>
        <v>Tony Jantschke</v>
      </c>
      <c r="E312" s="12" t="str">
        <f>Spieltag!C299</f>
        <v>Abwehr</v>
      </c>
      <c r="F312" s="13" t="s">
        <v>76</v>
      </c>
      <c r="G312" s="14"/>
      <c r="H312" s="15">
        <f t="shared" si="979"/>
        <v>0</v>
      </c>
      <c r="I312" s="14"/>
      <c r="J312" s="15">
        <f t="shared" si="980"/>
        <v>0</v>
      </c>
      <c r="K312" s="14"/>
      <c r="L312" s="15">
        <f t="shared" si="981"/>
        <v>0</v>
      </c>
      <c r="M312" s="14"/>
      <c r="N312" s="15">
        <f t="shared" si="982"/>
        <v>0</v>
      </c>
      <c r="O312" s="16">
        <f t="shared" si="972"/>
        <v>0</v>
      </c>
      <c r="P312" s="16">
        <f t="shared" si="973"/>
        <v>10</v>
      </c>
      <c r="Q312" s="16">
        <f t="shared" si="974"/>
        <v>-45</v>
      </c>
      <c r="R312" s="14"/>
      <c r="S312" s="15">
        <f t="shared" si="983"/>
        <v>0</v>
      </c>
      <c r="T312" s="14"/>
      <c r="U312" s="15">
        <f t="shared" si="984"/>
        <v>0</v>
      </c>
      <c r="V312" s="16">
        <f t="shared" si="985"/>
        <v>0</v>
      </c>
      <c r="W312" s="17">
        <f t="shared" si="986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26</v>
      </c>
      <c r="D313" s="21" t="str">
        <f>Spieltag!B300</f>
        <v>Lukas Ullrich</v>
      </c>
      <c r="E313" s="12" t="str">
        <f>Spieltag!C300</f>
        <v>Abwehr</v>
      </c>
      <c r="F313" s="13" t="s">
        <v>76</v>
      </c>
      <c r="G313" s="14"/>
      <c r="H313" s="15">
        <f t="shared" si="979"/>
        <v>0</v>
      </c>
      <c r="I313" s="14"/>
      <c r="J313" s="15">
        <f t="shared" si="980"/>
        <v>0</v>
      </c>
      <c r="K313" s="14"/>
      <c r="L313" s="15">
        <f t="shared" si="981"/>
        <v>0</v>
      </c>
      <c r="M313" s="14"/>
      <c r="N313" s="15">
        <f t="shared" si="982"/>
        <v>0</v>
      </c>
      <c r="O313" s="16">
        <f t="shared" si="972"/>
        <v>0</v>
      </c>
      <c r="P313" s="16">
        <f t="shared" si="973"/>
        <v>10</v>
      </c>
      <c r="Q313" s="16">
        <f t="shared" si="974"/>
        <v>-45</v>
      </c>
      <c r="R313" s="14"/>
      <c r="S313" s="15">
        <f t="shared" si="983"/>
        <v>0</v>
      </c>
      <c r="T313" s="14"/>
      <c r="U313" s="15">
        <f t="shared" si="984"/>
        <v>0</v>
      </c>
      <c r="V313" s="16">
        <f t="shared" si="985"/>
        <v>0</v>
      </c>
      <c r="W313" s="17">
        <f t="shared" si="986"/>
        <v>0</v>
      </c>
    </row>
    <row r="314" spans="1:23" ht="10.5" hidden="1" customHeight="1" x14ac:dyDescent="0.2">
      <c r="A314" s="11"/>
      <c r="B314" s="149">
        <f>COUNTA(Spieltag!K301:AA301)</f>
        <v>0</v>
      </c>
      <c r="C314" s="166">
        <f>Spieltag!A301</f>
        <v>29</v>
      </c>
      <c r="D314" s="21" t="str">
        <f>Spieltag!B301</f>
        <v>Joe Scally (A)</v>
      </c>
      <c r="E314" s="12" t="str">
        <f>Spieltag!C301</f>
        <v>Abwehr</v>
      </c>
      <c r="F314" s="13" t="s">
        <v>76</v>
      </c>
      <c r="G314" s="14"/>
      <c r="H314" s="15">
        <f t="shared" si="979"/>
        <v>0</v>
      </c>
      <c r="I314" s="14"/>
      <c r="J314" s="15">
        <f t="shared" si="980"/>
        <v>0</v>
      </c>
      <c r="K314" s="14"/>
      <c r="L314" s="15">
        <f t="shared" si="981"/>
        <v>0</v>
      </c>
      <c r="M314" s="14"/>
      <c r="N314" s="15">
        <f t="shared" si="982"/>
        <v>0</v>
      </c>
      <c r="O314" s="16">
        <f t="shared" si="972"/>
        <v>0</v>
      </c>
      <c r="P314" s="16">
        <f t="shared" si="973"/>
        <v>10</v>
      </c>
      <c r="Q314" s="16">
        <f t="shared" si="974"/>
        <v>-45</v>
      </c>
      <c r="R314" s="14"/>
      <c r="S314" s="15">
        <f t="shared" si="983"/>
        <v>0</v>
      </c>
      <c r="T314" s="14"/>
      <c r="U314" s="15">
        <f t="shared" si="984"/>
        <v>0</v>
      </c>
      <c r="V314" s="16">
        <f t="shared" si="985"/>
        <v>0</v>
      </c>
      <c r="W314" s="17">
        <f t="shared" si="986"/>
        <v>0</v>
      </c>
    </row>
    <row r="315" spans="1:23" ht="10.5" hidden="1" customHeight="1" x14ac:dyDescent="0.2">
      <c r="A315" s="11"/>
      <c r="B315" s="149">
        <f>COUNTA(Spieltag!K302:AA302)</f>
        <v>0</v>
      </c>
      <c r="C315" s="166">
        <f>Spieltag!A302</f>
        <v>30</v>
      </c>
      <c r="D315" s="21" t="str">
        <f>Spieltag!B302</f>
        <v>Nico Elvedi (A)</v>
      </c>
      <c r="E315" s="12" t="str">
        <f>Spieltag!C302</f>
        <v>Abwehr</v>
      </c>
      <c r="F315" s="13" t="s">
        <v>76</v>
      </c>
      <c r="G315" s="14"/>
      <c r="H315" s="15">
        <f t="shared" si="979"/>
        <v>0</v>
      </c>
      <c r="I315" s="14"/>
      <c r="J315" s="15">
        <f t="shared" si="980"/>
        <v>0</v>
      </c>
      <c r="K315" s="14"/>
      <c r="L315" s="15">
        <f t="shared" si="981"/>
        <v>0</v>
      </c>
      <c r="M315" s="14"/>
      <c r="N315" s="15">
        <f t="shared" si="982"/>
        <v>0</v>
      </c>
      <c r="O315" s="16">
        <f t="shared" si="972"/>
        <v>0</v>
      </c>
      <c r="P315" s="16">
        <f t="shared" si="973"/>
        <v>10</v>
      </c>
      <c r="Q315" s="16">
        <f t="shared" si="974"/>
        <v>-45</v>
      </c>
      <c r="R315" s="14"/>
      <c r="S315" s="15">
        <f t="shared" si="983"/>
        <v>0</v>
      </c>
      <c r="T315" s="14"/>
      <c r="U315" s="15">
        <f t="shared" si="984"/>
        <v>0</v>
      </c>
      <c r="V315" s="16">
        <f t="shared" si="985"/>
        <v>0</v>
      </c>
      <c r="W315" s="17">
        <f t="shared" si="986"/>
        <v>0</v>
      </c>
    </row>
    <row r="316" spans="1:23" ht="10.5" hidden="1" customHeight="1" x14ac:dyDescent="0.2">
      <c r="A316" s="11"/>
      <c r="B316" s="149">
        <f>COUNTA(Spieltag!K303:AA303)</f>
        <v>0</v>
      </c>
      <c r="C316" s="166">
        <f>Spieltag!A303</f>
        <v>39</v>
      </c>
      <c r="D316" s="21" t="str">
        <f>Spieltag!B303</f>
        <v>Maximilian Wöber (A)</v>
      </c>
      <c r="E316" s="12" t="str">
        <f>Spieltag!C303</f>
        <v>Abwehr</v>
      </c>
      <c r="F316" s="13" t="s">
        <v>76</v>
      </c>
      <c r="G316" s="14"/>
      <c r="H316" s="15">
        <f t="shared" si="979"/>
        <v>0</v>
      </c>
      <c r="I316" s="14"/>
      <c r="J316" s="15">
        <f t="shared" si="980"/>
        <v>0</v>
      </c>
      <c r="K316" s="14"/>
      <c r="L316" s="15">
        <f t="shared" si="981"/>
        <v>0</v>
      </c>
      <c r="M316" s="14"/>
      <c r="N316" s="15">
        <f t="shared" si="982"/>
        <v>0</v>
      </c>
      <c r="O316" s="16">
        <f t="shared" si="972"/>
        <v>0</v>
      </c>
      <c r="P316" s="16">
        <f t="shared" si="973"/>
        <v>10</v>
      </c>
      <c r="Q316" s="16">
        <f t="shared" si="974"/>
        <v>-45</v>
      </c>
      <c r="R316" s="14"/>
      <c r="S316" s="15">
        <f t="shared" si="983"/>
        <v>0</v>
      </c>
      <c r="T316" s="14"/>
      <c r="U316" s="15">
        <f t="shared" si="984"/>
        <v>0</v>
      </c>
      <c r="V316" s="16">
        <f t="shared" si="985"/>
        <v>0</v>
      </c>
      <c r="W316" s="17">
        <f t="shared" si="986"/>
        <v>0</v>
      </c>
    </row>
    <row r="317" spans="1:23" ht="10.5" hidden="1" customHeight="1" x14ac:dyDescent="0.2">
      <c r="A317" s="11"/>
      <c r="B317" s="149">
        <f>COUNTA(Spieltag!K304:AA304)</f>
        <v>0</v>
      </c>
      <c r="C317" s="166">
        <f>Spieltag!A304</f>
        <v>45</v>
      </c>
      <c r="D317" s="21" t="str">
        <f>Spieltag!B304</f>
        <v>Simon Walde</v>
      </c>
      <c r="E317" s="12" t="str">
        <f>Spieltag!C304</f>
        <v>Abwehr</v>
      </c>
      <c r="F317" s="13" t="s">
        <v>76</v>
      </c>
      <c r="G317" s="14"/>
      <c r="H317" s="15">
        <f t="shared" si="979"/>
        <v>0</v>
      </c>
      <c r="I317" s="14"/>
      <c r="J317" s="15">
        <f t="shared" si="980"/>
        <v>0</v>
      </c>
      <c r="K317" s="14"/>
      <c r="L317" s="15">
        <f t="shared" si="981"/>
        <v>0</v>
      </c>
      <c r="M317" s="14"/>
      <c r="N317" s="15">
        <f t="shared" si="982"/>
        <v>0</v>
      </c>
      <c r="O317" s="16">
        <f t="shared" si="972"/>
        <v>0</v>
      </c>
      <c r="P317" s="16">
        <f t="shared" si="973"/>
        <v>10</v>
      </c>
      <c r="Q317" s="16">
        <f t="shared" si="974"/>
        <v>-45</v>
      </c>
      <c r="R317" s="14"/>
      <c r="S317" s="15">
        <f t="shared" si="983"/>
        <v>0</v>
      </c>
      <c r="T317" s="14"/>
      <c r="U317" s="15">
        <f t="shared" si="984"/>
        <v>0</v>
      </c>
      <c r="V317" s="16">
        <f t="shared" si="985"/>
        <v>0</v>
      </c>
      <c r="W317" s="17">
        <f t="shared" si="986"/>
        <v>0</v>
      </c>
    </row>
    <row r="318" spans="1:23" ht="10.5" hidden="1" customHeight="1" x14ac:dyDescent="0.2">
      <c r="A318" s="11"/>
      <c r="B318" s="149">
        <f>COUNTA(Spieltag!K305:AA305)</f>
        <v>0</v>
      </c>
      <c r="C318" s="166">
        <f>Spieltag!A305</f>
        <v>8</v>
      </c>
      <c r="D318" s="21" t="str">
        <f>Spieltag!B305</f>
        <v>Julian Weigl</v>
      </c>
      <c r="E318" s="12" t="str">
        <f>Spieltag!C305</f>
        <v>Mittelfeld</v>
      </c>
      <c r="F318" s="13" t="s">
        <v>76</v>
      </c>
      <c r="G318" s="14"/>
      <c r="H318" s="15">
        <f t="shared" ref="H318" si="987">IF(G318="x",10,0)</f>
        <v>0</v>
      </c>
      <c r="I318" s="14"/>
      <c r="J318" s="15">
        <f t="shared" ref="J318" si="988">IF((I318="x"),-10,0)</f>
        <v>0</v>
      </c>
      <c r="K318" s="14"/>
      <c r="L318" s="15">
        <f t="shared" ref="L318" si="989">IF((K318="x"),-20,0)</f>
        <v>0</v>
      </c>
      <c r="M318" s="14"/>
      <c r="N318" s="15">
        <f t="shared" ref="N318" si="990">IF((M318="x"),-30,0)</f>
        <v>0</v>
      </c>
      <c r="O318" s="16">
        <f t="shared" ref="O318:O331" si="991">IF(AND($V$11&gt;$W$11),20,IF($V$11=$W$11,10,0))</f>
        <v>0</v>
      </c>
      <c r="P318" s="16">
        <f t="shared" ref="P318:P331" si="992">IF(($V$11&lt;&gt;0),$V$11*10,-5)</f>
        <v>10</v>
      </c>
      <c r="Q318" s="16">
        <f t="shared" ref="Q318:Q325" si="993">IF(($W$11&lt;&gt;0),$W$11*-10,10)</f>
        <v>-30</v>
      </c>
      <c r="R318" s="14"/>
      <c r="S318" s="15">
        <f t="shared" ref="S318" si="994">R318*10</f>
        <v>0</v>
      </c>
      <c r="T318" s="14"/>
      <c r="U318" s="15">
        <f t="shared" ref="U318" si="995">T318*-15</f>
        <v>0</v>
      </c>
      <c r="V318" s="16">
        <f>IF(AND(R318=2),10,IF(R318=3,30,IF(R318=4,50,IF(R318=5,70,0))))</f>
        <v>0</v>
      </c>
      <c r="W318" s="17">
        <f>IF(G318="x",H318+J318+L318+N318+O318+P318+Q318+S318+U318+V318,0)</f>
        <v>0</v>
      </c>
    </row>
    <row r="319" spans="1:23" ht="10.5" hidden="1" customHeight="1" x14ac:dyDescent="0.2">
      <c r="A319" s="11"/>
      <c r="B319" s="149">
        <f>COUNTA(Spieltag!K306:AA306)</f>
        <v>0</v>
      </c>
      <c r="C319" s="166">
        <f>Spieltag!A306</f>
        <v>9</v>
      </c>
      <c r="D319" s="21" t="str">
        <f>Spieltag!B306</f>
        <v>Franck Honorat (A)</v>
      </c>
      <c r="E319" s="12" t="str">
        <f>Spieltag!C306</f>
        <v>Mittelfeld</v>
      </c>
      <c r="F319" s="13" t="s">
        <v>76</v>
      </c>
      <c r="G319" s="14"/>
      <c r="H319" s="15">
        <f t="shared" ref="H319:H325" si="996">IF(G319="x",10,0)</f>
        <v>0</v>
      </c>
      <c r="I319" s="14"/>
      <c r="J319" s="15">
        <f t="shared" ref="J319:J325" si="997">IF((I319="x"),-10,0)</f>
        <v>0</v>
      </c>
      <c r="K319" s="14"/>
      <c r="L319" s="15">
        <f t="shared" ref="L319:L325" si="998">IF((K319="x"),-20,0)</f>
        <v>0</v>
      </c>
      <c r="M319" s="14"/>
      <c r="N319" s="15">
        <f t="shared" ref="N319:N325" si="999">IF((M319="x"),-30,0)</f>
        <v>0</v>
      </c>
      <c r="O319" s="16">
        <f t="shared" si="991"/>
        <v>0</v>
      </c>
      <c r="P319" s="16">
        <f t="shared" si="992"/>
        <v>10</v>
      </c>
      <c r="Q319" s="16">
        <f t="shared" si="993"/>
        <v>-30</v>
      </c>
      <c r="R319" s="14"/>
      <c r="S319" s="15">
        <f t="shared" ref="S319:S325" si="1000">R319*10</f>
        <v>0</v>
      </c>
      <c r="T319" s="14"/>
      <c r="U319" s="15">
        <f t="shared" ref="U319:U325" si="1001">T319*-15</f>
        <v>0</v>
      </c>
      <c r="V319" s="16">
        <f t="shared" ref="V319:V325" si="1002">IF(AND(R319=2),10,IF(R319=3,30,IF(R319=4,50,IF(R319=5,70,0))))</f>
        <v>0</v>
      </c>
      <c r="W319" s="17">
        <f t="shared" ref="W319:W325" si="1003">IF(G319="x",H319+J319+L319+N319+O319+P319+Q319+S319+U319+V319,0)</f>
        <v>0</v>
      </c>
    </row>
    <row r="320" spans="1:23" ht="10.5" hidden="1" customHeight="1" x14ac:dyDescent="0.2">
      <c r="A320" s="11"/>
      <c r="B320" s="149">
        <f>COUNTA(Spieltag!K307:AA307)</f>
        <v>0</v>
      </c>
      <c r="C320" s="166">
        <f>Spieltag!A307</f>
        <v>10</v>
      </c>
      <c r="D320" s="21" t="str">
        <f>Spieltag!B307</f>
        <v>Florian Neuhaus</v>
      </c>
      <c r="E320" s="12" t="str">
        <f>Spieltag!C307</f>
        <v>Mittelfeld</v>
      </c>
      <c r="F320" s="13" t="s">
        <v>76</v>
      </c>
      <c r="G320" s="14"/>
      <c r="H320" s="15">
        <f t="shared" ref="H320" si="1004">IF(G320="x",10,0)</f>
        <v>0</v>
      </c>
      <c r="I320" s="14"/>
      <c r="J320" s="15">
        <f t="shared" ref="J320" si="1005">IF((I320="x"),-10,0)</f>
        <v>0</v>
      </c>
      <c r="K320" s="14"/>
      <c r="L320" s="15">
        <f t="shared" ref="L320" si="1006">IF((K320="x"),-20,0)</f>
        <v>0</v>
      </c>
      <c r="M320" s="14"/>
      <c r="N320" s="15">
        <f t="shared" ref="N320" si="1007">IF((M320="x"),-30,0)</f>
        <v>0</v>
      </c>
      <c r="O320" s="16">
        <f t="shared" si="991"/>
        <v>0</v>
      </c>
      <c r="P320" s="16">
        <f t="shared" si="992"/>
        <v>10</v>
      </c>
      <c r="Q320" s="16">
        <f t="shared" si="993"/>
        <v>-30</v>
      </c>
      <c r="R320" s="14"/>
      <c r="S320" s="15">
        <f t="shared" ref="S320" si="1008">R320*10</f>
        <v>0</v>
      </c>
      <c r="T320" s="14"/>
      <c r="U320" s="15">
        <f t="shared" ref="U320" si="1009">T320*-15</f>
        <v>0</v>
      </c>
      <c r="V320" s="16">
        <f t="shared" ref="V320" si="1010">IF(AND(R320=2),10,IF(R320=3,30,IF(R320=4,50,IF(R320=5,70,0))))</f>
        <v>0</v>
      </c>
      <c r="W320" s="17">
        <f t="shared" ref="W320" si="1011">IF(G320="x",H320+J320+L320+N320+O320+P320+Q320+S320+U320+V320,0)</f>
        <v>0</v>
      </c>
    </row>
    <row r="321" spans="1:23" ht="10.5" hidden="1" customHeight="1" x14ac:dyDescent="0.2">
      <c r="A321" s="11"/>
      <c r="B321" s="149">
        <f>COUNTA(Spieltag!K308:AA308)</f>
        <v>0</v>
      </c>
      <c r="C321" s="166">
        <f>Spieltag!A308</f>
        <v>17</v>
      </c>
      <c r="D321" s="21" t="str">
        <f>Spieltag!B308</f>
        <v>Manu Koné (A)</v>
      </c>
      <c r="E321" s="12" t="str">
        <f>Spieltag!C308</f>
        <v>Mittelfeld</v>
      </c>
      <c r="F321" s="13" t="s">
        <v>76</v>
      </c>
      <c r="G321" s="14"/>
      <c r="H321" s="15">
        <f t="shared" si="996"/>
        <v>0</v>
      </c>
      <c r="I321" s="14"/>
      <c r="J321" s="15">
        <f t="shared" si="997"/>
        <v>0</v>
      </c>
      <c r="K321" s="14"/>
      <c r="L321" s="15">
        <f t="shared" si="998"/>
        <v>0</v>
      </c>
      <c r="M321" s="14"/>
      <c r="N321" s="15">
        <f t="shared" si="999"/>
        <v>0</v>
      </c>
      <c r="O321" s="16">
        <f t="shared" si="991"/>
        <v>0</v>
      </c>
      <c r="P321" s="16">
        <f t="shared" si="992"/>
        <v>10</v>
      </c>
      <c r="Q321" s="16">
        <f t="shared" si="993"/>
        <v>-30</v>
      </c>
      <c r="R321" s="14"/>
      <c r="S321" s="15">
        <f t="shared" si="1000"/>
        <v>0</v>
      </c>
      <c r="T321" s="14"/>
      <c r="U321" s="15">
        <f t="shared" si="1001"/>
        <v>0</v>
      </c>
      <c r="V321" s="16">
        <f t="shared" si="1002"/>
        <v>0</v>
      </c>
      <c r="W321" s="17">
        <f t="shared" si="1003"/>
        <v>0</v>
      </c>
    </row>
    <row r="322" spans="1:23" ht="10.5" hidden="1" customHeight="1" x14ac:dyDescent="0.2">
      <c r="A322" s="11"/>
      <c r="B322" s="149">
        <f>COUNTA(Spieltag!K309:AA309)</f>
        <v>0</v>
      </c>
      <c r="C322" s="166">
        <f>Spieltag!A309</f>
        <v>19</v>
      </c>
      <c r="D322" s="21" t="str">
        <f>Spieltag!B309</f>
        <v>Nathan Ngoumou (A)</v>
      </c>
      <c r="E322" s="12" t="str">
        <f>Spieltag!C309</f>
        <v>Mittelfeld</v>
      </c>
      <c r="F322" s="13" t="s">
        <v>76</v>
      </c>
      <c r="G322" s="14"/>
      <c r="H322" s="15">
        <f t="shared" si="996"/>
        <v>0</v>
      </c>
      <c r="I322" s="14"/>
      <c r="J322" s="15">
        <f t="shared" si="997"/>
        <v>0</v>
      </c>
      <c r="K322" s="14"/>
      <c r="L322" s="15">
        <f t="shared" si="998"/>
        <v>0</v>
      </c>
      <c r="M322" s="14"/>
      <c r="N322" s="15">
        <f t="shared" si="999"/>
        <v>0</v>
      </c>
      <c r="O322" s="16">
        <f t="shared" si="991"/>
        <v>0</v>
      </c>
      <c r="P322" s="16">
        <f t="shared" si="992"/>
        <v>10</v>
      </c>
      <c r="Q322" s="16">
        <f t="shared" si="993"/>
        <v>-30</v>
      </c>
      <c r="R322" s="14"/>
      <c r="S322" s="15">
        <f t="shared" si="1000"/>
        <v>0</v>
      </c>
      <c r="T322" s="14"/>
      <c r="U322" s="15">
        <f t="shared" si="1001"/>
        <v>0</v>
      </c>
      <c r="V322" s="16">
        <f t="shared" si="1002"/>
        <v>0</v>
      </c>
      <c r="W322" s="17">
        <f t="shared" si="1003"/>
        <v>0</v>
      </c>
    </row>
    <row r="323" spans="1:23" ht="10.5" hidden="1" customHeight="1" x14ac:dyDescent="0.2">
      <c r="A323" s="11"/>
      <c r="B323" s="149">
        <f>COUNTA(Spieltag!K310:AA310)</f>
        <v>0</v>
      </c>
      <c r="C323" s="166">
        <f>Spieltag!A310</f>
        <v>23</v>
      </c>
      <c r="D323" s="21" t="str">
        <f>Spieltag!B310</f>
        <v>Christoph Kramer</v>
      </c>
      <c r="E323" s="12" t="str">
        <f>Spieltag!C310</f>
        <v>Mittelfeld</v>
      </c>
      <c r="F323" s="13" t="s">
        <v>76</v>
      </c>
      <c r="G323" s="14"/>
      <c r="H323" s="15">
        <f t="shared" si="996"/>
        <v>0</v>
      </c>
      <c r="I323" s="14"/>
      <c r="J323" s="15">
        <f t="shared" si="997"/>
        <v>0</v>
      </c>
      <c r="K323" s="14"/>
      <c r="L323" s="15">
        <f t="shared" si="998"/>
        <v>0</v>
      </c>
      <c r="M323" s="14"/>
      <c r="N323" s="15">
        <f t="shared" si="999"/>
        <v>0</v>
      </c>
      <c r="O323" s="16">
        <f t="shared" si="991"/>
        <v>0</v>
      </c>
      <c r="P323" s="16">
        <f t="shared" si="992"/>
        <v>10</v>
      </c>
      <c r="Q323" s="16">
        <f t="shared" si="993"/>
        <v>-30</v>
      </c>
      <c r="R323" s="14"/>
      <c r="S323" s="15">
        <f t="shared" si="1000"/>
        <v>0</v>
      </c>
      <c r="T323" s="14"/>
      <c r="U323" s="15">
        <f t="shared" si="1001"/>
        <v>0</v>
      </c>
      <c r="V323" s="16">
        <f t="shared" si="1002"/>
        <v>0</v>
      </c>
      <c r="W323" s="17">
        <f t="shared" si="1003"/>
        <v>0</v>
      </c>
    </row>
    <row r="324" spans="1:23" ht="10.5" hidden="1" customHeight="1" x14ac:dyDescent="0.2">
      <c r="A324" s="11"/>
      <c r="B324" s="149">
        <f>COUNTA(Spieltag!K311:AA311)</f>
        <v>0</v>
      </c>
      <c r="C324" s="166">
        <f>Spieltag!A311</f>
        <v>25</v>
      </c>
      <c r="D324" s="21" t="str">
        <f>Spieltag!B311</f>
        <v>Robin Hack</v>
      </c>
      <c r="E324" s="12" t="str">
        <f>Spieltag!C311</f>
        <v>Mittelfeld</v>
      </c>
      <c r="F324" s="13" t="s">
        <v>76</v>
      </c>
      <c r="G324" s="14"/>
      <c r="H324" s="15">
        <f t="shared" si="996"/>
        <v>0</v>
      </c>
      <c r="I324" s="14"/>
      <c r="J324" s="15">
        <f t="shared" si="997"/>
        <v>0</v>
      </c>
      <c r="K324" s="14"/>
      <c r="L324" s="15">
        <f t="shared" si="998"/>
        <v>0</v>
      </c>
      <c r="M324" s="14"/>
      <c r="N324" s="15">
        <f t="shared" si="999"/>
        <v>0</v>
      </c>
      <c r="O324" s="16">
        <f t="shared" si="991"/>
        <v>0</v>
      </c>
      <c r="P324" s="16">
        <f t="shared" si="992"/>
        <v>10</v>
      </c>
      <c r="Q324" s="16">
        <f t="shared" si="993"/>
        <v>-30</v>
      </c>
      <c r="R324" s="14"/>
      <c r="S324" s="15">
        <f t="shared" si="1000"/>
        <v>0</v>
      </c>
      <c r="T324" s="14"/>
      <c r="U324" s="15">
        <f t="shared" si="1001"/>
        <v>0</v>
      </c>
      <c r="V324" s="16">
        <f t="shared" si="1002"/>
        <v>0</v>
      </c>
      <c r="W324" s="17">
        <f t="shared" si="1003"/>
        <v>0</v>
      </c>
    </row>
    <row r="325" spans="1:23" ht="10.5" hidden="1" customHeight="1" x14ac:dyDescent="0.2">
      <c r="A325" s="11"/>
      <c r="B325" s="149">
        <f>COUNTA(Spieltag!K312:AA312)</f>
        <v>0</v>
      </c>
      <c r="C325" s="166">
        <f>Spieltag!A312</f>
        <v>27</v>
      </c>
      <c r="D325" s="21" t="str">
        <f>Spieltag!B312</f>
        <v>Rocco Reitz</v>
      </c>
      <c r="E325" s="12" t="str">
        <f>Spieltag!C312</f>
        <v>Mittelfeld</v>
      </c>
      <c r="F325" s="13" t="s">
        <v>76</v>
      </c>
      <c r="G325" s="14"/>
      <c r="H325" s="15">
        <f t="shared" si="996"/>
        <v>0</v>
      </c>
      <c r="I325" s="14"/>
      <c r="J325" s="15">
        <f t="shared" si="997"/>
        <v>0</v>
      </c>
      <c r="K325" s="14"/>
      <c r="L325" s="15">
        <f t="shared" si="998"/>
        <v>0</v>
      </c>
      <c r="M325" s="14"/>
      <c r="N325" s="15">
        <f t="shared" si="999"/>
        <v>0</v>
      </c>
      <c r="O325" s="16">
        <f t="shared" si="991"/>
        <v>0</v>
      </c>
      <c r="P325" s="16">
        <f t="shared" si="992"/>
        <v>10</v>
      </c>
      <c r="Q325" s="16">
        <f t="shared" si="993"/>
        <v>-30</v>
      </c>
      <c r="R325" s="14"/>
      <c r="S325" s="15">
        <f t="shared" si="1000"/>
        <v>0</v>
      </c>
      <c r="T325" s="14"/>
      <c r="U325" s="15">
        <f t="shared" si="1001"/>
        <v>0</v>
      </c>
      <c r="V325" s="16">
        <f t="shared" si="1002"/>
        <v>0</v>
      </c>
      <c r="W325" s="17">
        <f t="shared" si="1003"/>
        <v>0</v>
      </c>
    </row>
    <row r="326" spans="1:23" ht="10.5" hidden="1" customHeight="1" x14ac:dyDescent="0.2">
      <c r="A326" s="11"/>
      <c r="B326" s="149">
        <f>COUNTA(Spieltag!K313:AA313)</f>
        <v>0</v>
      </c>
      <c r="C326" s="166">
        <f>Spieltag!A313</f>
        <v>7</v>
      </c>
      <c r="D326" s="21" t="str">
        <f>Spieltag!B313</f>
        <v>Patrick Herrmann</v>
      </c>
      <c r="E326" s="12" t="str">
        <f>Spieltag!C313</f>
        <v>Sturm</v>
      </c>
      <c r="F326" s="13" t="s">
        <v>76</v>
      </c>
      <c r="G326" s="14"/>
      <c r="H326" s="15">
        <f>IF(G326="x",10,0)</f>
        <v>0</v>
      </c>
      <c r="I326" s="14"/>
      <c r="J326" s="15">
        <f>IF((I326="x"),-10,0)</f>
        <v>0</v>
      </c>
      <c r="K326" s="14"/>
      <c r="L326" s="15">
        <f>IF((K326="x"),-20,0)</f>
        <v>0</v>
      </c>
      <c r="M326" s="14"/>
      <c r="N326" s="15">
        <f>IF((M326="x"),-30,0)</f>
        <v>0</v>
      </c>
      <c r="O326" s="16">
        <f t="shared" si="991"/>
        <v>0</v>
      </c>
      <c r="P326" s="16">
        <f t="shared" si="992"/>
        <v>10</v>
      </c>
      <c r="Q326" s="16">
        <f>IF(($W$11&lt;&gt;0),$W$11*-10,5)</f>
        <v>-30</v>
      </c>
      <c r="R326" s="14"/>
      <c r="S326" s="15">
        <f>R326*10</f>
        <v>0</v>
      </c>
      <c r="T326" s="14"/>
      <c r="U326" s="15">
        <f>T326*-15</f>
        <v>0</v>
      </c>
      <c r="V326" s="16">
        <f>IF(AND(R326=2),10,IF(R326=3,30,IF(R326=4,50,IF(R326=5,70,0))))</f>
        <v>0</v>
      </c>
      <c r="W326" s="17">
        <f>IF(G326="x",H326+J326+L326+N326+O326+P326+Q326+S326+U326+V326,0)</f>
        <v>0</v>
      </c>
    </row>
    <row r="327" spans="1:23" ht="10.5" hidden="1" customHeight="1" x14ac:dyDescent="0.2">
      <c r="A327" s="11"/>
      <c r="B327" s="149">
        <f>COUNTA(Spieltag!K314:AA314)</f>
        <v>0</v>
      </c>
      <c r="C327" s="166">
        <f>Spieltag!A314</f>
        <v>13</v>
      </c>
      <c r="D327" s="21" t="str">
        <f>Spieltag!B314</f>
        <v>Jordan Siebatcheu (A)</v>
      </c>
      <c r="E327" s="12" t="str">
        <f>Spieltag!C314</f>
        <v>Sturm</v>
      </c>
      <c r="F327" s="13" t="s">
        <v>76</v>
      </c>
      <c r="G327" s="14"/>
      <c r="H327" s="15">
        <f>IF(G327="x",10,0)</f>
        <v>0</v>
      </c>
      <c r="I327" s="14"/>
      <c r="J327" s="15">
        <f>IF((I327="x"),-10,0)</f>
        <v>0</v>
      </c>
      <c r="K327" s="14"/>
      <c r="L327" s="15">
        <f>IF((K327="x"),-20,0)</f>
        <v>0</v>
      </c>
      <c r="M327" s="14"/>
      <c r="N327" s="15">
        <f>IF((M327="x"),-30,0)</f>
        <v>0</v>
      </c>
      <c r="O327" s="16">
        <f t="shared" si="991"/>
        <v>0</v>
      </c>
      <c r="P327" s="16">
        <f t="shared" si="992"/>
        <v>10</v>
      </c>
      <c r="Q327" s="16">
        <f t="shared" ref="Q327:Q331" si="1012">IF(($W$11&lt;&gt;0),$W$11*-10,5)</f>
        <v>-30</v>
      </c>
      <c r="R327" s="14"/>
      <c r="S327" s="15">
        <f>R327*10</f>
        <v>0</v>
      </c>
      <c r="T327" s="14"/>
      <c r="U327" s="15">
        <f>T327*-15</f>
        <v>0</v>
      </c>
      <c r="V327" s="16">
        <f>IF(AND(R327=2),10,IF(R327=3,30,IF(R327=4,50,IF(R327=5,70,0))))</f>
        <v>0</v>
      </c>
      <c r="W327" s="17">
        <f>IF(G327="x",H327+J327+L327+N327+O327+P327+Q327+S327+U327+V327,0)</f>
        <v>0</v>
      </c>
    </row>
    <row r="328" spans="1:23" ht="10.5" hidden="1" customHeight="1" x14ac:dyDescent="0.2">
      <c r="A328" s="11"/>
      <c r="B328" s="149">
        <f>COUNTA(Spieltag!K315:AA315)</f>
        <v>0</v>
      </c>
      <c r="C328" s="166">
        <f>Spieltag!A315</f>
        <v>14</v>
      </c>
      <c r="D328" s="21" t="str">
        <f>Spieltag!B315</f>
        <v>Alassane Plea (A)</v>
      </c>
      <c r="E328" s="12" t="str">
        <f>Spieltag!C315</f>
        <v>Sturm</v>
      </c>
      <c r="F328" s="13" t="s">
        <v>76</v>
      </c>
      <c r="G328" s="14"/>
      <c r="H328" s="15">
        <f t="shared" ref="H328:H331" si="1013">IF(G328="x",10,0)</f>
        <v>0</v>
      </c>
      <c r="I328" s="14"/>
      <c r="J328" s="15">
        <f t="shared" ref="J328:J331" si="1014">IF((I328="x"),-10,0)</f>
        <v>0</v>
      </c>
      <c r="K328" s="14"/>
      <c r="L328" s="15">
        <f t="shared" ref="L328:L331" si="1015">IF((K328="x"),-20,0)</f>
        <v>0</v>
      </c>
      <c r="M328" s="14"/>
      <c r="N328" s="15">
        <f t="shared" ref="N328:N331" si="1016">IF((M328="x"),-30,0)</f>
        <v>0</v>
      </c>
      <c r="O328" s="16">
        <f t="shared" si="991"/>
        <v>0</v>
      </c>
      <c r="P328" s="16">
        <f t="shared" si="992"/>
        <v>10</v>
      </c>
      <c r="Q328" s="16">
        <f t="shared" si="1012"/>
        <v>-30</v>
      </c>
      <c r="R328" s="14"/>
      <c r="S328" s="15">
        <f t="shared" ref="S328:S331" si="1017">R328*10</f>
        <v>0</v>
      </c>
      <c r="T328" s="14"/>
      <c r="U328" s="15">
        <f t="shared" ref="U328:U331" si="1018">T328*-15</f>
        <v>0</v>
      </c>
      <c r="V328" s="16">
        <f t="shared" ref="V328:V331" si="1019">IF(AND(R328=2),10,IF(R328=3,30,IF(R328=4,50,IF(R328=5,70,0))))</f>
        <v>0</v>
      </c>
      <c r="W328" s="17">
        <f t="shared" ref="W328:W331" si="1020">IF(G328="x",H328+J328+L328+N328+O328+P328+Q328+S328+U328+V328,0)</f>
        <v>0</v>
      </c>
    </row>
    <row r="329" spans="1:23" ht="10.5" hidden="1" customHeight="1" x14ac:dyDescent="0.2">
      <c r="A329" s="11"/>
      <c r="B329" s="149">
        <f>COUNTA(Spieltag!K316:AA316)</f>
        <v>0</v>
      </c>
      <c r="C329" s="166">
        <f>Spieltag!A316</f>
        <v>28</v>
      </c>
      <c r="D329" s="21" t="str">
        <f>Spieltag!B316</f>
        <v>Grant-Leon Ranos</v>
      </c>
      <c r="E329" s="12" t="str">
        <f>Spieltag!C316</f>
        <v>Sturm</v>
      </c>
      <c r="F329" s="13" t="s">
        <v>76</v>
      </c>
      <c r="G329" s="14"/>
      <c r="H329" s="15">
        <f t="shared" si="1013"/>
        <v>0</v>
      </c>
      <c r="I329" s="14"/>
      <c r="J329" s="15">
        <f t="shared" si="1014"/>
        <v>0</v>
      </c>
      <c r="K329" s="14"/>
      <c r="L329" s="15">
        <f t="shared" si="1015"/>
        <v>0</v>
      </c>
      <c r="M329" s="14"/>
      <c r="N329" s="15">
        <f t="shared" si="1016"/>
        <v>0</v>
      </c>
      <c r="O329" s="16">
        <f t="shared" si="991"/>
        <v>0</v>
      </c>
      <c r="P329" s="16">
        <f t="shared" si="992"/>
        <v>10</v>
      </c>
      <c r="Q329" s="16">
        <f t="shared" si="1012"/>
        <v>-30</v>
      </c>
      <c r="R329" s="14"/>
      <c r="S329" s="15">
        <f t="shared" si="1017"/>
        <v>0</v>
      </c>
      <c r="T329" s="14"/>
      <c r="U329" s="15">
        <f t="shared" si="1018"/>
        <v>0</v>
      </c>
      <c r="V329" s="16">
        <f t="shared" si="1019"/>
        <v>0</v>
      </c>
      <c r="W329" s="17">
        <f t="shared" si="1020"/>
        <v>0</v>
      </c>
    </row>
    <row r="330" spans="1:23" ht="10.5" hidden="1" customHeight="1" x14ac:dyDescent="0.2">
      <c r="A330" s="11"/>
      <c r="B330" s="149">
        <f>COUNTA(Spieltag!K317:AA317)</f>
        <v>0</v>
      </c>
      <c r="C330" s="166">
        <f>Spieltag!A317</f>
        <v>31</v>
      </c>
      <c r="D330" s="21" t="str">
        <f>Spieltag!B317</f>
        <v>Tomáš Čvančara (A)</v>
      </c>
      <c r="E330" s="12" t="str">
        <f>Spieltag!C317</f>
        <v>Sturm</v>
      </c>
      <c r="F330" s="13" t="s">
        <v>76</v>
      </c>
      <c r="G330" s="14"/>
      <c r="H330" s="15">
        <f t="shared" ref="H330" si="1021">IF(G330="x",10,0)</f>
        <v>0</v>
      </c>
      <c r="I330" s="14"/>
      <c r="J330" s="15">
        <f t="shared" ref="J330" si="1022">IF((I330="x"),-10,0)</f>
        <v>0</v>
      </c>
      <c r="K330" s="14"/>
      <c r="L330" s="15">
        <f t="shared" ref="L330" si="1023">IF((K330="x"),-20,0)</f>
        <v>0</v>
      </c>
      <c r="M330" s="14"/>
      <c r="N330" s="15">
        <f t="shared" ref="N330" si="1024">IF((M330="x"),-30,0)</f>
        <v>0</v>
      </c>
      <c r="O330" s="16">
        <f t="shared" si="991"/>
        <v>0</v>
      </c>
      <c r="P330" s="16">
        <f t="shared" si="992"/>
        <v>10</v>
      </c>
      <c r="Q330" s="16">
        <f t="shared" si="1012"/>
        <v>-30</v>
      </c>
      <c r="R330" s="14"/>
      <c r="S330" s="15">
        <f t="shared" ref="S330" si="1025">R330*10</f>
        <v>0</v>
      </c>
      <c r="T330" s="14"/>
      <c r="U330" s="15">
        <f t="shared" ref="U330" si="1026">T330*-15</f>
        <v>0</v>
      </c>
      <c r="V330" s="16">
        <f t="shared" ref="V330" si="1027">IF(AND(R330=2),10,IF(R330=3,30,IF(R330=4,50,IF(R330=5,70,0))))</f>
        <v>0</v>
      </c>
      <c r="W330" s="17">
        <f t="shared" ref="W330" si="1028">IF(G330="x",H330+J330+L330+N330+O330+P330+Q330+S330+U330+V330,0)</f>
        <v>0</v>
      </c>
    </row>
    <row r="331" spans="1:23" ht="10.5" hidden="1" customHeight="1" x14ac:dyDescent="0.2">
      <c r="A331" s="11"/>
      <c r="B331" s="149">
        <f>COUNTA(Spieltag!K318:AA318)</f>
        <v>0</v>
      </c>
      <c r="C331" s="166">
        <f>Spieltag!A318</f>
        <v>49</v>
      </c>
      <c r="D331" s="21" t="str">
        <f>Spieltag!B318</f>
        <v>Shio Fukuda (A)</v>
      </c>
      <c r="E331" s="12" t="str">
        <f>Spieltag!C318</f>
        <v>Sturm</v>
      </c>
      <c r="F331" s="13" t="s">
        <v>76</v>
      </c>
      <c r="G331" s="14"/>
      <c r="H331" s="15">
        <f t="shared" si="1013"/>
        <v>0</v>
      </c>
      <c r="I331" s="14"/>
      <c r="J331" s="15">
        <f t="shared" si="1014"/>
        <v>0</v>
      </c>
      <c r="K331" s="14"/>
      <c r="L331" s="15">
        <f t="shared" si="1015"/>
        <v>0</v>
      </c>
      <c r="M331" s="14"/>
      <c r="N331" s="15">
        <f t="shared" si="1016"/>
        <v>0</v>
      </c>
      <c r="O331" s="16">
        <f t="shared" si="991"/>
        <v>0</v>
      </c>
      <c r="P331" s="16">
        <f t="shared" si="992"/>
        <v>10</v>
      </c>
      <c r="Q331" s="16">
        <f t="shared" si="1012"/>
        <v>-30</v>
      </c>
      <c r="R331" s="14"/>
      <c r="S331" s="15">
        <f t="shared" si="1017"/>
        <v>0</v>
      </c>
      <c r="T331" s="14"/>
      <c r="U331" s="15">
        <f t="shared" si="1018"/>
        <v>0</v>
      </c>
      <c r="V331" s="16">
        <f t="shared" si="1019"/>
        <v>0</v>
      </c>
      <c r="W331" s="17">
        <f t="shared" si="1020"/>
        <v>0</v>
      </c>
    </row>
    <row r="332" spans="1:23" s="144" customFormat="1" ht="17.25" hidden="1" thickBot="1" x14ac:dyDescent="0.25">
      <c r="A332" s="142"/>
      <c r="B332" s="143">
        <f>SUM(B333:B363)</f>
        <v>0</v>
      </c>
      <c r="C332" s="158"/>
      <c r="D332" s="234" t="s">
        <v>181</v>
      </c>
      <c r="E332" s="234"/>
      <c r="F332" s="234"/>
      <c r="G332" s="234"/>
      <c r="H332" s="234"/>
      <c r="I332" s="234"/>
      <c r="J332" s="234"/>
      <c r="K332" s="234"/>
      <c r="L332" s="234"/>
      <c r="M332" s="234"/>
      <c r="N332" s="234"/>
      <c r="O332" s="234"/>
      <c r="P332" s="234"/>
      <c r="Q332" s="234"/>
      <c r="R332" s="234"/>
      <c r="S332" s="234"/>
      <c r="T332" s="234"/>
      <c r="U332" s="234"/>
      <c r="V332" s="234"/>
      <c r="W332" s="235"/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1</v>
      </c>
      <c r="D333" s="21" t="str">
        <f>Spieltag!B320</f>
        <v>Marvin Schwäbe</v>
      </c>
      <c r="E333" s="151" t="str">
        <f>Spieltag!C320</f>
        <v>Torwart</v>
      </c>
      <c r="F333" s="152" t="s">
        <v>176</v>
      </c>
      <c r="G333" s="153"/>
      <c r="H333" s="154">
        <f>IF(G333="x",10,0)</f>
        <v>0</v>
      </c>
      <c r="I333" s="153"/>
      <c r="J333" s="154">
        <f>IF((I333="x"),-10,0)</f>
        <v>0</v>
      </c>
      <c r="K333" s="153"/>
      <c r="L333" s="154">
        <f>IF((K333="x"),-20,0)</f>
        <v>0</v>
      </c>
      <c r="M333" s="153"/>
      <c r="N333" s="154">
        <f>IF((M333="x"),-30,0)</f>
        <v>0</v>
      </c>
      <c r="O333" s="155">
        <f t="shared" ref="O333:O346" si="1029">IF(AND($V$5&gt;$W$5),20,IF($V$5=$W$5,10,0))</f>
        <v>20</v>
      </c>
      <c r="P333" s="155">
        <f t="shared" ref="P333:P346" si="1030">IF(($V$5&lt;&gt;0),$V$5*10,-5)</f>
        <v>20</v>
      </c>
      <c r="Q333" s="155">
        <f>IF(($W$5&lt;&gt;0),$W$5*-10,20)</f>
        <v>20</v>
      </c>
      <c r="R333" s="153"/>
      <c r="S333" s="154">
        <f>R333*20</f>
        <v>0</v>
      </c>
      <c r="T333" s="153"/>
      <c r="U333" s="154">
        <f>T333*-15</f>
        <v>0</v>
      </c>
      <c r="V333" s="155">
        <f>IF(AND(R333=2),10,IF(R333=3,30,IF(R333=4,50,IF(R333=5,70,0))))</f>
        <v>0</v>
      </c>
      <c r="W333" s="156">
        <f>IF(G333="x",H333+J333+L333+N333+O333+P333+Q333+S333+U333+V333,0)</f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12</v>
      </c>
      <c r="D334" s="21" t="str">
        <f>Spieltag!B321</f>
        <v>Jonas Nickisch</v>
      </c>
      <c r="E334" s="151" t="str">
        <f>Spieltag!C321</f>
        <v>Torwart</v>
      </c>
      <c r="F334" s="152" t="s">
        <v>176</v>
      </c>
      <c r="G334" s="153"/>
      <c r="H334" s="154">
        <f t="shared" ref="H334" si="1031">IF(G334="x",10,0)</f>
        <v>0</v>
      </c>
      <c r="I334" s="153"/>
      <c r="J334" s="154">
        <f t="shared" ref="J334" si="1032">IF((I334="x"),-10,0)</f>
        <v>0</v>
      </c>
      <c r="K334" s="153"/>
      <c r="L334" s="154">
        <f t="shared" ref="L334" si="1033">IF((K334="x"),-20,0)</f>
        <v>0</v>
      </c>
      <c r="M334" s="153"/>
      <c r="N334" s="154">
        <f t="shared" ref="N334" si="1034">IF((M334="x"),-30,0)</f>
        <v>0</v>
      </c>
      <c r="O334" s="155">
        <f t="shared" si="1029"/>
        <v>20</v>
      </c>
      <c r="P334" s="155">
        <f t="shared" si="1030"/>
        <v>20</v>
      </c>
      <c r="Q334" s="155">
        <f t="shared" ref="Q334:Q336" si="1035">IF(($W$5&lt;&gt;0),$W$5*-10,20)</f>
        <v>20</v>
      </c>
      <c r="R334" s="153"/>
      <c r="S334" s="154">
        <f t="shared" ref="S334" si="1036">R334*20</f>
        <v>0</v>
      </c>
      <c r="T334" s="153"/>
      <c r="U334" s="154">
        <f t="shared" ref="U334" si="1037">T334*-15</f>
        <v>0</v>
      </c>
      <c r="V334" s="155">
        <f t="shared" ref="V334" si="1038">IF(AND(R334=2),10,IF(R334=3,30,IF(R334=4,50,IF(R334=5,70,0))))</f>
        <v>0</v>
      </c>
      <c r="W334" s="156">
        <f t="shared" ref="W334" si="1039">IF(G334="x",H334+J334+L334+N334+O334+P334+Q334+S334+U334+V334,0)</f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20</v>
      </c>
      <c r="D335" s="21" t="str">
        <f>Spieltag!B322</f>
        <v>Philipp Pentke</v>
      </c>
      <c r="E335" s="151" t="str">
        <f>Spieltag!C322</f>
        <v>Torwart</v>
      </c>
      <c r="F335" s="152" t="s">
        <v>176</v>
      </c>
      <c r="G335" s="153"/>
      <c r="H335" s="154">
        <f t="shared" ref="H335:H336" si="1040">IF(G335="x",10,0)</f>
        <v>0</v>
      </c>
      <c r="I335" s="153"/>
      <c r="J335" s="154">
        <f t="shared" ref="J335:J336" si="1041">IF((I335="x"),-10,0)</f>
        <v>0</v>
      </c>
      <c r="K335" s="153"/>
      <c r="L335" s="154">
        <f t="shared" ref="L335:L336" si="1042">IF((K335="x"),-20,0)</f>
        <v>0</v>
      </c>
      <c r="M335" s="153"/>
      <c r="N335" s="154">
        <f t="shared" ref="N335:N336" si="1043">IF((M335="x"),-30,0)</f>
        <v>0</v>
      </c>
      <c r="O335" s="155">
        <f t="shared" si="1029"/>
        <v>20</v>
      </c>
      <c r="P335" s="155">
        <f t="shared" si="1030"/>
        <v>20</v>
      </c>
      <c r="Q335" s="155">
        <f t="shared" si="1035"/>
        <v>20</v>
      </c>
      <c r="R335" s="153"/>
      <c r="S335" s="154">
        <f t="shared" ref="S335:S336" si="1044">R335*20</f>
        <v>0</v>
      </c>
      <c r="T335" s="153"/>
      <c r="U335" s="154">
        <f t="shared" ref="U335:U336" si="1045">T335*-15</f>
        <v>0</v>
      </c>
      <c r="V335" s="155">
        <f t="shared" ref="V335:V336" si="1046">IF(AND(R335=2),10,IF(R335=3,30,IF(R335=4,50,IF(R335=5,70,0))))</f>
        <v>0</v>
      </c>
      <c r="W335" s="156">
        <f t="shared" ref="W335:W336" si="1047">IF(G335="x",H335+J335+L335+N335+O335+P335+Q335+S335+U335+V335,0)</f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44</v>
      </c>
      <c r="D336" s="21" t="str">
        <f>Spieltag!B323</f>
        <v>Matthias Köbbing</v>
      </c>
      <c r="E336" s="151" t="str">
        <f>Spieltag!C323</f>
        <v>Torwart</v>
      </c>
      <c r="F336" s="152" t="s">
        <v>176</v>
      </c>
      <c r="G336" s="153"/>
      <c r="H336" s="154">
        <f t="shared" si="1040"/>
        <v>0</v>
      </c>
      <c r="I336" s="153"/>
      <c r="J336" s="154">
        <f t="shared" si="1041"/>
        <v>0</v>
      </c>
      <c r="K336" s="153"/>
      <c r="L336" s="154">
        <f t="shared" si="1042"/>
        <v>0</v>
      </c>
      <c r="M336" s="153"/>
      <c r="N336" s="154">
        <f t="shared" si="1043"/>
        <v>0</v>
      </c>
      <c r="O336" s="155">
        <f t="shared" si="1029"/>
        <v>20</v>
      </c>
      <c r="P336" s="155">
        <f t="shared" si="1030"/>
        <v>20</v>
      </c>
      <c r="Q336" s="155">
        <f t="shared" si="1035"/>
        <v>20</v>
      </c>
      <c r="R336" s="153"/>
      <c r="S336" s="154">
        <f t="shared" si="1044"/>
        <v>0</v>
      </c>
      <c r="T336" s="153"/>
      <c r="U336" s="154">
        <f t="shared" si="1045"/>
        <v>0</v>
      </c>
      <c r="V336" s="155">
        <f t="shared" si="1046"/>
        <v>0</v>
      </c>
      <c r="W336" s="156">
        <f t="shared" si="1047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2</v>
      </c>
      <c r="D337" s="21" t="str">
        <f>Spieltag!B324</f>
        <v>Benno Schmitz</v>
      </c>
      <c r="E337" s="151" t="str">
        <f>Spieltag!C324</f>
        <v>Abwehr</v>
      </c>
      <c r="F337" s="152" t="s">
        <v>176</v>
      </c>
      <c r="G337" s="153"/>
      <c r="H337" s="154">
        <f>IF(G337="x",10,0)</f>
        <v>0</v>
      </c>
      <c r="I337" s="153"/>
      <c r="J337" s="154">
        <f>IF((I337="x"),-10,0)</f>
        <v>0</v>
      </c>
      <c r="K337" s="153"/>
      <c r="L337" s="154">
        <f>IF((K337="x"),-20,0)</f>
        <v>0</v>
      </c>
      <c r="M337" s="153"/>
      <c r="N337" s="154">
        <f>IF((M337="x"),-30,0)</f>
        <v>0</v>
      </c>
      <c r="O337" s="155">
        <f t="shared" si="1029"/>
        <v>20</v>
      </c>
      <c r="P337" s="155">
        <f t="shared" si="1030"/>
        <v>20</v>
      </c>
      <c r="Q337" s="155">
        <f t="shared" ref="Q337:Q346" si="1048">IF(($W$5&lt;&gt;0),$W$5*-10,15)</f>
        <v>15</v>
      </c>
      <c r="R337" s="153"/>
      <c r="S337" s="154">
        <f>R337*15</f>
        <v>0</v>
      </c>
      <c r="T337" s="153"/>
      <c r="U337" s="154">
        <f>T337*-15</f>
        <v>0</v>
      </c>
      <c r="V337" s="155">
        <f>IF(AND(R337=2),10,IF(R337=3,30,IF(R337=4,50,IF(R337=5,70,0))))</f>
        <v>0</v>
      </c>
      <c r="W337" s="156">
        <f>IF(G337="x",H337+J337+L337+N337+O337+P337+Q337+S337+U337+V337,0)</f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3</v>
      </c>
      <c r="D338" s="21" t="str">
        <f>Spieltag!B325</f>
        <v>Dominique Heintz</v>
      </c>
      <c r="E338" s="151" t="str">
        <f>Spieltag!C325</f>
        <v>Abwehr</v>
      </c>
      <c r="F338" s="152" t="s">
        <v>176</v>
      </c>
      <c r="G338" s="153"/>
      <c r="H338" s="154">
        <f t="shared" ref="H338:H344" si="1049">IF(G338="x",10,0)</f>
        <v>0</v>
      </c>
      <c r="I338" s="153"/>
      <c r="J338" s="154">
        <f t="shared" ref="J338:J344" si="1050">IF((I338="x"),-10,0)</f>
        <v>0</v>
      </c>
      <c r="K338" s="153"/>
      <c r="L338" s="154">
        <f t="shared" ref="L338:L344" si="1051">IF((K338="x"),-20,0)</f>
        <v>0</v>
      </c>
      <c r="M338" s="153"/>
      <c r="N338" s="154">
        <f t="shared" ref="N338:N344" si="1052">IF((M338="x"),-30,0)</f>
        <v>0</v>
      </c>
      <c r="O338" s="155">
        <f t="shared" si="1029"/>
        <v>20</v>
      </c>
      <c r="P338" s="155">
        <f t="shared" si="1030"/>
        <v>20</v>
      </c>
      <c r="Q338" s="155">
        <f t="shared" si="1048"/>
        <v>15</v>
      </c>
      <c r="R338" s="153"/>
      <c r="S338" s="154">
        <f t="shared" ref="S338:S344" si="1053">R338*15</f>
        <v>0</v>
      </c>
      <c r="T338" s="153"/>
      <c r="U338" s="154">
        <f t="shared" ref="U338:U344" si="1054">T338*-15</f>
        <v>0</v>
      </c>
      <c r="V338" s="155">
        <f t="shared" ref="V338:V344" si="1055">IF(AND(R338=2),10,IF(R338=3,30,IF(R338=4,50,IF(R338=5,70,0))))</f>
        <v>0</v>
      </c>
      <c r="W338" s="156">
        <f t="shared" ref="W338:W344" si="1056">IF(G338="x",H338+J338+L338+N338+O338+P338+Q338+S338+U338+V338,0)</f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4</v>
      </c>
      <c r="D339" s="21" t="str">
        <f>Spieltag!B326</f>
        <v>Timo Hübers</v>
      </c>
      <c r="E339" s="151" t="str">
        <f>Spieltag!C326</f>
        <v>Abwehr</v>
      </c>
      <c r="F339" s="152" t="s">
        <v>176</v>
      </c>
      <c r="G339" s="153"/>
      <c r="H339" s="154">
        <f t="shared" si="1049"/>
        <v>0</v>
      </c>
      <c r="I339" s="153"/>
      <c r="J339" s="154">
        <f t="shared" si="1050"/>
        <v>0</v>
      </c>
      <c r="K339" s="153"/>
      <c r="L339" s="154">
        <f t="shared" si="1051"/>
        <v>0</v>
      </c>
      <c r="M339" s="153"/>
      <c r="N339" s="154">
        <f t="shared" si="1052"/>
        <v>0</v>
      </c>
      <c r="O339" s="155">
        <f t="shared" si="1029"/>
        <v>20</v>
      </c>
      <c r="P339" s="155">
        <f t="shared" si="1030"/>
        <v>20</v>
      </c>
      <c r="Q339" s="155">
        <f t="shared" si="1048"/>
        <v>15</v>
      </c>
      <c r="R339" s="153"/>
      <c r="S339" s="154">
        <f t="shared" si="1053"/>
        <v>0</v>
      </c>
      <c r="T339" s="153"/>
      <c r="U339" s="154">
        <f t="shared" si="1054"/>
        <v>0</v>
      </c>
      <c r="V339" s="155">
        <f t="shared" si="1055"/>
        <v>0</v>
      </c>
      <c r="W339" s="156">
        <f t="shared" si="1056"/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15</v>
      </c>
      <c r="D340" s="21" t="str">
        <f>Spieltag!B327</f>
        <v>Luca Kilian</v>
      </c>
      <c r="E340" s="151" t="str">
        <f>Spieltag!C327</f>
        <v>Abwehr</v>
      </c>
      <c r="F340" s="152" t="s">
        <v>176</v>
      </c>
      <c r="G340" s="153"/>
      <c r="H340" s="154">
        <f t="shared" si="1049"/>
        <v>0</v>
      </c>
      <c r="I340" s="153"/>
      <c r="J340" s="154">
        <f t="shared" si="1050"/>
        <v>0</v>
      </c>
      <c r="K340" s="153"/>
      <c r="L340" s="154">
        <f t="shared" si="1051"/>
        <v>0</v>
      </c>
      <c r="M340" s="153"/>
      <c r="N340" s="154">
        <f t="shared" si="1052"/>
        <v>0</v>
      </c>
      <c r="O340" s="155">
        <f t="shared" si="1029"/>
        <v>20</v>
      </c>
      <c r="P340" s="155">
        <f t="shared" si="1030"/>
        <v>20</v>
      </c>
      <c r="Q340" s="155">
        <f t="shared" si="1048"/>
        <v>15</v>
      </c>
      <c r="R340" s="153"/>
      <c r="S340" s="154">
        <f t="shared" si="1053"/>
        <v>0</v>
      </c>
      <c r="T340" s="153"/>
      <c r="U340" s="154">
        <f t="shared" si="1054"/>
        <v>0</v>
      </c>
      <c r="V340" s="155">
        <f t="shared" si="1055"/>
        <v>0</v>
      </c>
      <c r="W340" s="156">
        <f t="shared" si="1056"/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17</v>
      </c>
      <c r="D341" s="21" t="str">
        <f>Spieltag!B328</f>
        <v>Leart Paqarada</v>
      </c>
      <c r="E341" s="151" t="str">
        <f>Spieltag!C328</f>
        <v>Abwehr</v>
      </c>
      <c r="F341" s="152" t="s">
        <v>176</v>
      </c>
      <c r="G341" s="153"/>
      <c r="H341" s="154">
        <f t="shared" si="1049"/>
        <v>0</v>
      </c>
      <c r="I341" s="153"/>
      <c r="J341" s="154">
        <f t="shared" si="1050"/>
        <v>0</v>
      </c>
      <c r="K341" s="153"/>
      <c r="L341" s="154">
        <f t="shared" si="1051"/>
        <v>0</v>
      </c>
      <c r="M341" s="153"/>
      <c r="N341" s="154">
        <f t="shared" si="1052"/>
        <v>0</v>
      </c>
      <c r="O341" s="155">
        <f t="shared" si="1029"/>
        <v>20</v>
      </c>
      <c r="P341" s="155">
        <f t="shared" si="1030"/>
        <v>20</v>
      </c>
      <c r="Q341" s="155">
        <f t="shared" si="1048"/>
        <v>15</v>
      </c>
      <c r="R341" s="153"/>
      <c r="S341" s="154">
        <f t="shared" si="1053"/>
        <v>0</v>
      </c>
      <c r="T341" s="153"/>
      <c r="U341" s="154">
        <f t="shared" si="1054"/>
        <v>0</v>
      </c>
      <c r="V341" s="155">
        <f t="shared" si="1055"/>
        <v>0</v>
      </c>
      <c r="W341" s="156">
        <f t="shared" si="1056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18</v>
      </c>
      <c r="D342" s="21" t="str">
        <f>Spieltag!B329</f>
        <v>Rasmus Carstensen (A)</v>
      </c>
      <c r="E342" s="151" t="str">
        <f>Spieltag!C329</f>
        <v>Abwehr</v>
      </c>
      <c r="F342" s="152" t="s">
        <v>176</v>
      </c>
      <c r="G342" s="153"/>
      <c r="H342" s="154">
        <f t="shared" si="1049"/>
        <v>0</v>
      </c>
      <c r="I342" s="153"/>
      <c r="J342" s="154">
        <f t="shared" si="1050"/>
        <v>0</v>
      </c>
      <c r="K342" s="153"/>
      <c r="L342" s="154">
        <f t="shared" si="1051"/>
        <v>0</v>
      </c>
      <c r="M342" s="153"/>
      <c r="N342" s="154">
        <f t="shared" si="1052"/>
        <v>0</v>
      </c>
      <c r="O342" s="155">
        <f t="shared" si="1029"/>
        <v>20</v>
      </c>
      <c r="P342" s="155">
        <f t="shared" si="1030"/>
        <v>20</v>
      </c>
      <c r="Q342" s="155">
        <f t="shared" si="1048"/>
        <v>15</v>
      </c>
      <c r="R342" s="153"/>
      <c r="S342" s="154">
        <f t="shared" si="1053"/>
        <v>0</v>
      </c>
      <c r="T342" s="153"/>
      <c r="U342" s="154">
        <f t="shared" si="1054"/>
        <v>0</v>
      </c>
      <c r="V342" s="155">
        <f t="shared" si="1055"/>
        <v>0</v>
      </c>
      <c r="W342" s="156">
        <f t="shared" si="1056"/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24</v>
      </c>
      <c r="D343" s="21" t="str">
        <f>Spieltag!B330</f>
        <v>Jeff Chabot</v>
      </c>
      <c r="E343" s="151" t="str">
        <f>Spieltag!C330</f>
        <v>Abwehr</v>
      </c>
      <c r="F343" s="152" t="s">
        <v>176</v>
      </c>
      <c r="G343" s="153"/>
      <c r="H343" s="154">
        <f t="shared" si="1049"/>
        <v>0</v>
      </c>
      <c r="I343" s="153"/>
      <c r="J343" s="154">
        <f t="shared" si="1050"/>
        <v>0</v>
      </c>
      <c r="K343" s="153"/>
      <c r="L343" s="154">
        <f t="shared" si="1051"/>
        <v>0</v>
      </c>
      <c r="M343" s="153"/>
      <c r="N343" s="154">
        <f t="shared" si="1052"/>
        <v>0</v>
      </c>
      <c r="O343" s="155">
        <f t="shared" si="1029"/>
        <v>20</v>
      </c>
      <c r="P343" s="155">
        <f t="shared" si="1030"/>
        <v>20</v>
      </c>
      <c r="Q343" s="155">
        <f t="shared" si="1048"/>
        <v>15</v>
      </c>
      <c r="R343" s="153"/>
      <c r="S343" s="154">
        <f t="shared" si="1053"/>
        <v>0</v>
      </c>
      <c r="T343" s="153"/>
      <c r="U343" s="154">
        <f t="shared" si="1054"/>
        <v>0</v>
      </c>
      <c r="V343" s="155">
        <f t="shared" si="1055"/>
        <v>0</v>
      </c>
      <c r="W343" s="156">
        <f t="shared" si="1056"/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30</v>
      </c>
      <c r="D344" s="21" t="str">
        <f>Spieltag!B331</f>
        <v>Noah Katterbach</v>
      </c>
      <c r="E344" s="151" t="str">
        <f>Spieltag!C331</f>
        <v>Abwehr</v>
      </c>
      <c r="F344" s="152" t="s">
        <v>176</v>
      </c>
      <c r="G344" s="153"/>
      <c r="H344" s="154">
        <f t="shared" si="1049"/>
        <v>0</v>
      </c>
      <c r="I344" s="153"/>
      <c r="J344" s="154">
        <f t="shared" si="1050"/>
        <v>0</v>
      </c>
      <c r="K344" s="153"/>
      <c r="L344" s="154">
        <f t="shared" si="1051"/>
        <v>0</v>
      </c>
      <c r="M344" s="153"/>
      <c r="N344" s="154">
        <f t="shared" si="1052"/>
        <v>0</v>
      </c>
      <c r="O344" s="155">
        <f t="shared" si="1029"/>
        <v>20</v>
      </c>
      <c r="P344" s="155">
        <f t="shared" si="1030"/>
        <v>20</v>
      </c>
      <c r="Q344" s="155">
        <f t="shared" si="1048"/>
        <v>15</v>
      </c>
      <c r="R344" s="153"/>
      <c r="S344" s="154">
        <f t="shared" si="1053"/>
        <v>0</v>
      </c>
      <c r="T344" s="153"/>
      <c r="U344" s="154">
        <f t="shared" si="1054"/>
        <v>0</v>
      </c>
      <c r="V344" s="155">
        <f t="shared" si="1055"/>
        <v>0</v>
      </c>
      <c r="W344" s="156">
        <f t="shared" si="1056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35</v>
      </c>
      <c r="D345" s="21" t="str">
        <f>Spieltag!B332</f>
        <v>Max Finkgräfe</v>
      </c>
      <c r="E345" s="151" t="str">
        <f>Spieltag!C332</f>
        <v>Abwehr</v>
      </c>
      <c r="F345" s="152" t="s">
        <v>176</v>
      </c>
      <c r="G345" s="153"/>
      <c r="H345" s="154">
        <f t="shared" ref="H345:H346" si="1057">IF(G345="x",10,0)</f>
        <v>0</v>
      </c>
      <c r="I345" s="153"/>
      <c r="J345" s="154">
        <f t="shared" ref="J345:J346" si="1058">IF((I345="x"),-10,0)</f>
        <v>0</v>
      </c>
      <c r="K345" s="153"/>
      <c r="L345" s="154">
        <f t="shared" ref="L345:L346" si="1059">IF((K345="x"),-20,0)</f>
        <v>0</v>
      </c>
      <c r="M345" s="153"/>
      <c r="N345" s="154">
        <f t="shared" ref="N345:N346" si="1060">IF((M345="x"),-30,0)</f>
        <v>0</v>
      </c>
      <c r="O345" s="155">
        <f t="shared" si="1029"/>
        <v>20</v>
      </c>
      <c r="P345" s="155">
        <f t="shared" si="1030"/>
        <v>20</v>
      </c>
      <c r="Q345" s="155">
        <f t="shared" si="1048"/>
        <v>15</v>
      </c>
      <c r="R345" s="153"/>
      <c r="S345" s="154">
        <f t="shared" ref="S345:S346" si="1061">R345*15</f>
        <v>0</v>
      </c>
      <c r="T345" s="153"/>
      <c r="U345" s="154">
        <f t="shared" ref="U345:U346" si="1062">T345*-15</f>
        <v>0</v>
      </c>
      <c r="V345" s="155">
        <f t="shared" ref="V345:V346" si="1063">IF(AND(R345=2),10,IF(R345=3,30,IF(R345=4,50,IF(R345=5,70,0))))</f>
        <v>0</v>
      </c>
      <c r="W345" s="156">
        <f t="shared" ref="W345:W346" si="1064">IF(G345="x",H345+J345+L345+N345+O345+P345+Q345+S345+U345+V345,0)</f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38</v>
      </c>
      <c r="D346" s="21" t="str">
        <f>Spieltag!B333</f>
        <v>Elias Bakatukanda</v>
      </c>
      <c r="E346" s="151" t="str">
        <f>Spieltag!C333</f>
        <v>Abwehr</v>
      </c>
      <c r="F346" s="152" t="s">
        <v>176</v>
      </c>
      <c r="G346" s="153"/>
      <c r="H346" s="154">
        <f t="shared" si="1057"/>
        <v>0</v>
      </c>
      <c r="I346" s="153"/>
      <c r="J346" s="154">
        <f t="shared" si="1058"/>
        <v>0</v>
      </c>
      <c r="K346" s="153"/>
      <c r="L346" s="154">
        <f t="shared" si="1059"/>
        <v>0</v>
      </c>
      <c r="M346" s="153"/>
      <c r="N346" s="154">
        <f t="shared" si="1060"/>
        <v>0</v>
      </c>
      <c r="O346" s="155">
        <f t="shared" si="1029"/>
        <v>20</v>
      </c>
      <c r="P346" s="155">
        <f t="shared" si="1030"/>
        <v>20</v>
      </c>
      <c r="Q346" s="155">
        <f t="shared" si="1048"/>
        <v>15</v>
      </c>
      <c r="R346" s="153"/>
      <c r="S346" s="154">
        <f t="shared" si="1061"/>
        <v>0</v>
      </c>
      <c r="T346" s="153"/>
      <c r="U346" s="154">
        <f t="shared" si="1062"/>
        <v>0</v>
      </c>
      <c r="V346" s="155">
        <f t="shared" si="1063"/>
        <v>0</v>
      </c>
      <c r="W346" s="156">
        <f t="shared" si="1064"/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6</v>
      </c>
      <c r="D347" s="21" t="str">
        <f>Spieltag!B334</f>
        <v>Eric Martel</v>
      </c>
      <c r="E347" s="151" t="str">
        <f>Spieltag!C334</f>
        <v>Mittelfeld</v>
      </c>
      <c r="F347" s="152" t="s">
        <v>176</v>
      </c>
      <c r="G347" s="153"/>
      <c r="H347" s="154">
        <f>IF(G347="x",10,0)</f>
        <v>0</v>
      </c>
      <c r="I347" s="153"/>
      <c r="J347" s="154">
        <f>IF((I347="x"),-10,0)</f>
        <v>0</v>
      </c>
      <c r="K347" s="153"/>
      <c r="L347" s="154">
        <f>IF((K347="x"),-20,0)</f>
        <v>0</v>
      </c>
      <c r="M347" s="153"/>
      <c r="N347" s="154">
        <f>IF((M347="x"),-30,0)</f>
        <v>0</v>
      </c>
      <c r="O347" s="155">
        <f t="shared" ref="O347:O363" si="1065">IF(AND($V$5&gt;$W$5),20,IF($V$5=$W$5,10,0))</f>
        <v>20</v>
      </c>
      <c r="P347" s="155">
        <f t="shared" ref="P347:P363" si="1066">IF(($V$5&lt;&gt;0),$V$5*10,-5)</f>
        <v>20</v>
      </c>
      <c r="Q347" s="155">
        <f t="shared" ref="Q347:Q355" si="1067">IF(($W$5&lt;&gt;0),$W$5*-10,10)</f>
        <v>10</v>
      </c>
      <c r="R347" s="153"/>
      <c r="S347" s="154">
        <f>R347*10</f>
        <v>0</v>
      </c>
      <c r="T347" s="153"/>
      <c r="U347" s="154">
        <f>T347*-15</f>
        <v>0</v>
      </c>
      <c r="V347" s="155">
        <f>IF(AND(R347=2),10,IF(R347=3,30,IF(R347=4,50,IF(R347=5,70,0))))</f>
        <v>0</v>
      </c>
      <c r="W347" s="156">
        <f>IF(G347="x",H347+J347+L347+N347+O347+P347+Q347+S347+U347+V347,0)</f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7</v>
      </c>
      <c r="D348" s="21" t="str">
        <f>Spieltag!B335</f>
        <v>Dejan Ljubicic (A)</v>
      </c>
      <c r="E348" s="151" t="str">
        <f>Spieltag!C335</f>
        <v>Mittelfeld</v>
      </c>
      <c r="F348" s="152" t="s">
        <v>176</v>
      </c>
      <c r="G348" s="153"/>
      <c r="H348" s="154">
        <f t="shared" ref="H348:H355" si="1068">IF(G348="x",10,0)</f>
        <v>0</v>
      </c>
      <c r="I348" s="153"/>
      <c r="J348" s="154">
        <f t="shared" ref="J348:J355" si="1069">IF((I348="x"),-10,0)</f>
        <v>0</v>
      </c>
      <c r="K348" s="153"/>
      <c r="L348" s="154">
        <f t="shared" ref="L348:L355" si="1070">IF((K348="x"),-20,0)</f>
        <v>0</v>
      </c>
      <c r="M348" s="153"/>
      <c r="N348" s="154">
        <f t="shared" ref="N348:N355" si="1071">IF((M348="x"),-30,0)</f>
        <v>0</v>
      </c>
      <c r="O348" s="155">
        <f t="shared" si="1065"/>
        <v>20</v>
      </c>
      <c r="P348" s="155">
        <f t="shared" si="1066"/>
        <v>20</v>
      </c>
      <c r="Q348" s="155">
        <f t="shared" si="1067"/>
        <v>10</v>
      </c>
      <c r="R348" s="153"/>
      <c r="S348" s="154">
        <f t="shared" ref="S348:S355" si="1072">R348*10</f>
        <v>0</v>
      </c>
      <c r="T348" s="153"/>
      <c r="U348" s="154">
        <f t="shared" ref="U348:U355" si="1073">T348*-15</f>
        <v>0</v>
      </c>
      <c r="V348" s="155">
        <f t="shared" ref="V348:V355" si="1074">IF(AND(R348=2),10,IF(R348=3,30,IF(R348=4,50,IF(R348=5,70,0))))</f>
        <v>0</v>
      </c>
      <c r="W348" s="156">
        <f t="shared" ref="W348:W355" si="1075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8</v>
      </c>
      <c r="D349" s="21" t="str">
        <f>Spieltag!B336</f>
        <v>Denis Huseinbašić</v>
      </c>
      <c r="E349" s="151" t="str">
        <f>Spieltag!C336</f>
        <v>Mittelfeld</v>
      </c>
      <c r="F349" s="152" t="s">
        <v>176</v>
      </c>
      <c r="G349" s="153"/>
      <c r="H349" s="154">
        <f t="shared" si="1068"/>
        <v>0</v>
      </c>
      <c r="I349" s="153"/>
      <c r="J349" s="154">
        <f t="shared" si="1069"/>
        <v>0</v>
      </c>
      <c r="K349" s="153"/>
      <c r="L349" s="154">
        <f t="shared" si="1070"/>
        <v>0</v>
      </c>
      <c r="M349" s="153"/>
      <c r="N349" s="154">
        <f t="shared" si="1071"/>
        <v>0</v>
      </c>
      <c r="O349" s="155">
        <f t="shared" si="1065"/>
        <v>20</v>
      </c>
      <c r="P349" s="155">
        <f t="shared" si="1066"/>
        <v>20</v>
      </c>
      <c r="Q349" s="155">
        <f t="shared" si="1067"/>
        <v>10</v>
      </c>
      <c r="R349" s="153"/>
      <c r="S349" s="154">
        <f t="shared" si="1072"/>
        <v>0</v>
      </c>
      <c r="T349" s="153"/>
      <c r="U349" s="154">
        <f t="shared" si="1073"/>
        <v>0</v>
      </c>
      <c r="V349" s="155">
        <f t="shared" si="1074"/>
        <v>0</v>
      </c>
      <c r="W349" s="156">
        <f t="shared" si="1075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11</v>
      </c>
      <c r="D350" s="21" t="str">
        <f>Spieltag!B337</f>
        <v>Florian Kainz (A)</v>
      </c>
      <c r="E350" s="151" t="str">
        <f>Spieltag!C337</f>
        <v>Mittelfeld</v>
      </c>
      <c r="F350" s="152" t="s">
        <v>176</v>
      </c>
      <c r="G350" s="153"/>
      <c r="H350" s="154">
        <f t="shared" si="1068"/>
        <v>0</v>
      </c>
      <c r="I350" s="153"/>
      <c r="J350" s="154">
        <f t="shared" si="1069"/>
        <v>0</v>
      </c>
      <c r="K350" s="153"/>
      <c r="L350" s="154">
        <f t="shared" si="1070"/>
        <v>0</v>
      </c>
      <c r="M350" s="153"/>
      <c r="N350" s="154">
        <f t="shared" si="1071"/>
        <v>0</v>
      </c>
      <c r="O350" s="155">
        <f t="shared" si="1065"/>
        <v>20</v>
      </c>
      <c r="P350" s="155">
        <f t="shared" si="1066"/>
        <v>20</v>
      </c>
      <c r="Q350" s="155">
        <f t="shared" si="1067"/>
        <v>10</v>
      </c>
      <c r="R350" s="153"/>
      <c r="S350" s="154">
        <f t="shared" si="1072"/>
        <v>0</v>
      </c>
      <c r="T350" s="153"/>
      <c r="U350" s="154">
        <f t="shared" si="1073"/>
        <v>0</v>
      </c>
      <c r="V350" s="155">
        <f t="shared" si="1074"/>
        <v>0</v>
      </c>
      <c r="W350" s="156">
        <f t="shared" si="1075"/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22</v>
      </c>
      <c r="D351" s="21" t="str">
        <f>Spieltag!B338</f>
        <v>Jacob Christensen (A)</v>
      </c>
      <c r="E351" s="151" t="str">
        <f>Spieltag!C338</f>
        <v>Mittelfeld</v>
      </c>
      <c r="F351" s="152" t="s">
        <v>176</v>
      </c>
      <c r="G351" s="153"/>
      <c r="H351" s="154">
        <f t="shared" si="1068"/>
        <v>0</v>
      </c>
      <c r="I351" s="153"/>
      <c r="J351" s="154">
        <f t="shared" si="1069"/>
        <v>0</v>
      </c>
      <c r="K351" s="153"/>
      <c r="L351" s="154">
        <f t="shared" si="1070"/>
        <v>0</v>
      </c>
      <c r="M351" s="153"/>
      <c r="N351" s="154">
        <f t="shared" si="1071"/>
        <v>0</v>
      </c>
      <c r="O351" s="155">
        <f t="shared" si="1065"/>
        <v>20</v>
      </c>
      <c r="P351" s="155">
        <f t="shared" si="1066"/>
        <v>20</v>
      </c>
      <c r="Q351" s="155">
        <f t="shared" si="1067"/>
        <v>10</v>
      </c>
      <c r="R351" s="153"/>
      <c r="S351" s="154">
        <f t="shared" si="1072"/>
        <v>0</v>
      </c>
      <c r="T351" s="153"/>
      <c r="U351" s="154">
        <f t="shared" si="1073"/>
        <v>0</v>
      </c>
      <c r="V351" s="155">
        <f t="shared" si="1074"/>
        <v>0</v>
      </c>
      <c r="W351" s="156">
        <f t="shared" si="1075"/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29</v>
      </c>
      <c r="D352" s="21" t="str">
        <f>Spieltag!B339</f>
        <v>Jan Thielmann</v>
      </c>
      <c r="E352" s="151" t="str">
        <f>Spieltag!C339</f>
        <v>Mittelfeld</v>
      </c>
      <c r="F352" s="152" t="s">
        <v>176</v>
      </c>
      <c r="G352" s="153"/>
      <c r="H352" s="154">
        <f t="shared" si="1068"/>
        <v>0</v>
      </c>
      <c r="I352" s="153"/>
      <c r="J352" s="154">
        <f t="shared" si="1069"/>
        <v>0</v>
      </c>
      <c r="K352" s="153"/>
      <c r="L352" s="154">
        <f t="shared" si="1070"/>
        <v>0</v>
      </c>
      <c r="M352" s="153"/>
      <c r="N352" s="154">
        <f t="shared" si="1071"/>
        <v>0</v>
      </c>
      <c r="O352" s="155">
        <f t="shared" si="1065"/>
        <v>20</v>
      </c>
      <c r="P352" s="155">
        <f t="shared" si="1066"/>
        <v>20</v>
      </c>
      <c r="Q352" s="155">
        <f t="shared" si="1067"/>
        <v>10</v>
      </c>
      <c r="R352" s="153"/>
      <c r="S352" s="154">
        <f t="shared" si="1072"/>
        <v>0</v>
      </c>
      <c r="T352" s="153"/>
      <c r="U352" s="154">
        <f t="shared" si="1073"/>
        <v>0</v>
      </c>
      <c r="V352" s="155">
        <f t="shared" si="1074"/>
        <v>0</v>
      </c>
      <c r="W352" s="156">
        <f t="shared" si="1075"/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36</v>
      </c>
      <c r="D353" s="21" t="str">
        <f>Spieltag!B340</f>
        <v>Meiko Wäschenbach</v>
      </c>
      <c r="E353" s="151" t="str">
        <f>Spieltag!C340</f>
        <v>Mittelfeld</v>
      </c>
      <c r="F353" s="152" t="s">
        <v>176</v>
      </c>
      <c r="G353" s="153"/>
      <c r="H353" s="154">
        <f t="shared" ref="H353" si="1076">IF(G353="x",10,0)</f>
        <v>0</v>
      </c>
      <c r="I353" s="153"/>
      <c r="J353" s="154">
        <f t="shared" ref="J353" si="1077">IF((I353="x"),-10,0)</f>
        <v>0</v>
      </c>
      <c r="K353" s="153"/>
      <c r="L353" s="154">
        <f t="shared" ref="L353" si="1078">IF((K353="x"),-20,0)</f>
        <v>0</v>
      </c>
      <c r="M353" s="153"/>
      <c r="N353" s="154">
        <f t="shared" ref="N353" si="1079">IF((M353="x"),-30,0)</f>
        <v>0</v>
      </c>
      <c r="O353" s="155">
        <f t="shared" si="1065"/>
        <v>20</v>
      </c>
      <c r="P353" s="155">
        <f t="shared" si="1066"/>
        <v>20</v>
      </c>
      <c r="Q353" s="155">
        <f t="shared" si="1067"/>
        <v>10</v>
      </c>
      <c r="R353" s="153"/>
      <c r="S353" s="154">
        <f t="shared" ref="S353" si="1080">R353*10</f>
        <v>0</v>
      </c>
      <c r="T353" s="153"/>
      <c r="U353" s="154">
        <f t="shared" ref="U353" si="1081">T353*-15</f>
        <v>0</v>
      </c>
      <c r="V353" s="155">
        <f t="shared" ref="V353" si="1082">IF(AND(R353=2),10,IF(R353=3,30,IF(R353=4,50,IF(R353=5,70,0))))</f>
        <v>0</v>
      </c>
      <c r="W353" s="156">
        <f t="shared" ref="W353" si="1083">IF(G353="x",H353+J353+L353+N353+O353+P353+Q353+S353+U353+V353,0)</f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37</v>
      </c>
      <c r="D354" s="21" t="str">
        <f>Spieltag!B341</f>
        <v>Linton Maina</v>
      </c>
      <c r="E354" s="151" t="str">
        <f>Spieltag!C341</f>
        <v>Mittelfeld</v>
      </c>
      <c r="F354" s="152" t="s">
        <v>176</v>
      </c>
      <c r="G354" s="153"/>
      <c r="H354" s="154">
        <f t="shared" si="1068"/>
        <v>0</v>
      </c>
      <c r="I354" s="153"/>
      <c r="J354" s="154">
        <f t="shared" si="1069"/>
        <v>0</v>
      </c>
      <c r="K354" s="153"/>
      <c r="L354" s="154">
        <f t="shared" si="1070"/>
        <v>0</v>
      </c>
      <c r="M354" s="153"/>
      <c r="N354" s="154">
        <f t="shared" si="1071"/>
        <v>0</v>
      </c>
      <c r="O354" s="155">
        <f t="shared" si="1065"/>
        <v>20</v>
      </c>
      <c r="P354" s="155">
        <f t="shared" si="1066"/>
        <v>20</v>
      </c>
      <c r="Q354" s="155">
        <f t="shared" si="1067"/>
        <v>10</v>
      </c>
      <c r="R354" s="153"/>
      <c r="S354" s="154">
        <f t="shared" si="1072"/>
        <v>0</v>
      </c>
      <c r="T354" s="153"/>
      <c r="U354" s="154">
        <f t="shared" si="1073"/>
        <v>0</v>
      </c>
      <c r="V354" s="155">
        <f t="shared" si="1074"/>
        <v>0</v>
      </c>
      <c r="W354" s="156">
        <f t="shared" si="1075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40</v>
      </c>
      <c r="D355" s="21" t="str">
        <f>Spieltag!B342</f>
        <v>Faride Alidou</v>
      </c>
      <c r="E355" s="151" t="str">
        <f>Spieltag!C342</f>
        <v>Mittelfeld</v>
      </c>
      <c r="F355" s="152" t="s">
        <v>176</v>
      </c>
      <c r="G355" s="153"/>
      <c r="H355" s="154">
        <f t="shared" si="1068"/>
        <v>0</v>
      </c>
      <c r="I355" s="153"/>
      <c r="J355" s="154">
        <f t="shared" si="1069"/>
        <v>0</v>
      </c>
      <c r="K355" s="153"/>
      <c r="L355" s="154">
        <f t="shared" si="1070"/>
        <v>0</v>
      </c>
      <c r="M355" s="153"/>
      <c r="N355" s="154">
        <f t="shared" si="1071"/>
        <v>0</v>
      </c>
      <c r="O355" s="155">
        <f t="shared" si="1065"/>
        <v>20</v>
      </c>
      <c r="P355" s="155">
        <f t="shared" si="1066"/>
        <v>20</v>
      </c>
      <c r="Q355" s="155">
        <f t="shared" si="1067"/>
        <v>10</v>
      </c>
      <c r="R355" s="153"/>
      <c r="S355" s="154">
        <f t="shared" si="1072"/>
        <v>0</v>
      </c>
      <c r="T355" s="153"/>
      <c r="U355" s="154">
        <f t="shared" si="1073"/>
        <v>0</v>
      </c>
      <c r="V355" s="155">
        <f t="shared" si="1074"/>
        <v>0</v>
      </c>
      <c r="W355" s="156">
        <f t="shared" si="1075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9</v>
      </c>
      <c r="D356" s="21" t="str">
        <f>Spieltag!B343</f>
        <v>Luca Waldschmidt</v>
      </c>
      <c r="E356" s="151" t="str">
        <f>Spieltag!C343</f>
        <v>Sturm</v>
      </c>
      <c r="F356" s="152" t="s">
        <v>176</v>
      </c>
      <c r="G356" s="153"/>
      <c r="H356" s="154">
        <f>IF(G356="x",10,0)</f>
        <v>0</v>
      </c>
      <c r="I356" s="153"/>
      <c r="J356" s="154">
        <f>IF((I356="x"),-10,0)</f>
        <v>0</v>
      </c>
      <c r="K356" s="153"/>
      <c r="L356" s="154">
        <f>IF((K356="x"),-20,0)</f>
        <v>0</v>
      </c>
      <c r="M356" s="153"/>
      <c r="N356" s="154">
        <f>IF((M356="x"),-30,0)</f>
        <v>0</v>
      </c>
      <c r="O356" s="155">
        <f t="shared" si="1065"/>
        <v>20</v>
      </c>
      <c r="P356" s="155">
        <f t="shared" si="1066"/>
        <v>20</v>
      </c>
      <c r="Q356" s="155">
        <f>IF(($W$5&lt;&gt;0),$W$5*-10,5)</f>
        <v>5</v>
      </c>
      <c r="R356" s="153"/>
      <c r="S356" s="154">
        <f>R356*10</f>
        <v>0</v>
      </c>
      <c r="T356" s="153"/>
      <c r="U356" s="154">
        <f>T356*-15</f>
        <v>0</v>
      </c>
      <c r="V356" s="155">
        <f>IF(AND(R356=2),10,IF(R356=3,30,IF(R356=4,50,IF(R356=5,70,0))))</f>
        <v>0</v>
      </c>
      <c r="W356" s="156">
        <f>IF(G356="x",H356+J356+L356+N356+O356+P356+Q356+S356+U356+V356,0)</f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13</v>
      </c>
      <c r="D357" s="21" t="str">
        <f>Spieltag!B344</f>
        <v>Mark Uth</v>
      </c>
      <c r="E357" s="151" t="str">
        <f>Spieltag!C344</f>
        <v>Sturm</v>
      </c>
      <c r="F357" s="152" t="s">
        <v>176</v>
      </c>
      <c r="G357" s="153"/>
      <c r="H357" s="154">
        <f t="shared" ref="H357:H362" si="1084">IF(G357="x",10,0)</f>
        <v>0</v>
      </c>
      <c r="I357" s="153"/>
      <c r="J357" s="154">
        <f t="shared" ref="J357:J362" si="1085">IF((I357="x"),-10,0)</f>
        <v>0</v>
      </c>
      <c r="K357" s="153"/>
      <c r="L357" s="154">
        <f t="shared" ref="L357:L362" si="1086">IF((K357="x"),-20,0)</f>
        <v>0</v>
      </c>
      <c r="M357" s="153"/>
      <c r="N357" s="154">
        <f t="shared" ref="N357:N362" si="1087">IF((M357="x"),-30,0)</f>
        <v>0</v>
      </c>
      <c r="O357" s="155">
        <f t="shared" si="1065"/>
        <v>20</v>
      </c>
      <c r="P357" s="155">
        <f t="shared" si="1066"/>
        <v>20</v>
      </c>
      <c r="Q357" s="155">
        <f t="shared" ref="Q357:Q363" si="1088">IF(($W$5&lt;&gt;0),$W$5*-10,5)</f>
        <v>5</v>
      </c>
      <c r="R357" s="153"/>
      <c r="S357" s="154">
        <f t="shared" ref="S357:S362" si="1089">R357*10</f>
        <v>0</v>
      </c>
      <c r="T357" s="153"/>
      <c r="U357" s="154">
        <f t="shared" ref="U357:U362" si="1090">T357*-15</f>
        <v>0</v>
      </c>
      <c r="V357" s="155">
        <f t="shared" ref="V357:V362" si="1091">IF(AND(R357=2),10,IF(R357=3,30,IF(R357=4,50,IF(R357=5,70,0))))</f>
        <v>0</v>
      </c>
      <c r="W357" s="156">
        <f t="shared" ref="W357:W362" si="1092">IF(G357="x",H357+J357+L357+N357+O357+P357+Q357+S357+U357+V357,0)</f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21</v>
      </c>
      <c r="D358" s="21" t="str">
        <f>Spieltag!B345</f>
        <v>Steffen Tigges</v>
      </c>
      <c r="E358" s="151" t="str">
        <f>Spieltag!C345</f>
        <v>Sturm</v>
      </c>
      <c r="F358" s="152" t="s">
        <v>176</v>
      </c>
      <c r="G358" s="153"/>
      <c r="H358" s="154">
        <f t="shared" si="1084"/>
        <v>0</v>
      </c>
      <c r="I358" s="153"/>
      <c r="J358" s="154">
        <f t="shared" si="1085"/>
        <v>0</v>
      </c>
      <c r="K358" s="153"/>
      <c r="L358" s="154">
        <f t="shared" si="1086"/>
        <v>0</v>
      </c>
      <c r="M358" s="153"/>
      <c r="N358" s="154">
        <f t="shared" si="1087"/>
        <v>0</v>
      </c>
      <c r="O358" s="155">
        <f t="shared" si="1065"/>
        <v>20</v>
      </c>
      <c r="P358" s="155">
        <f t="shared" si="1066"/>
        <v>20</v>
      </c>
      <c r="Q358" s="155">
        <f t="shared" si="1088"/>
        <v>5</v>
      </c>
      <c r="R358" s="153"/>
      <c r="S358" s="154">
        <f t="shared" si="1089"/>
        <v>0</v>
      </c>
      <c r="T358" s="153"/>
      <c r="U358" s="154">
        <f t="shared" si="1090"/>
        <v>0</v>
      </c>
      <c r="V358" s="155">
        <f t="shared" si="1091"/>
        <v>0</v>
      </c>
      <c r="W358" s="156">
        <f t="shared" si="1092"/>
        <v>0</v>
      </c>
    </row>
    <row r="359" spans="1:23" ht="10.5" hidden="1" customHeight="1" x14ac:dyDescent="0.2">
      <c r="A359" s="11"/>
      <c r="B359" s="150">
        <f>COUNTA(Spieltag!K346:AA346)</f>
        <v>0</v>
      </c>
      <c r="C359" s="166">
        <f>Spieltag!A346</f>
        <v>23</v>
      </c>
      <c r="D359" s="21" t="str">
        <f>Spieltag!B346</f>
        <v>Sargis Adamyan (A)</v>
      </c>
      <c r="E359" s="151" t="str">
        <f>Spieltag!C346</f>
        <v>Sturm</v>
      </c>
      <c r="F359" s="152" t="s">
        <v>176</v>
      </c>
      <c r="G359" s="153"/>
      <c r="H359" s="154">
        <f t="shared" si="1084"/>
        <v>0</v>
      </c>
      <c r="I359" s="153"/>
      <c r="J359" s="154">
        <f t="shared" si="1085"/>
        <v>0</v>
      </c>
      <c r="K359" s="153"/>
      <c r="L359" s="154">
        <f t="shared" si="1086"/>
        <v>0</v>
      </c>
      <c r="M359" s="153"/>
      <c r="N359" s="154">
        <f t="shared" si="1087"/>
        <v>0</v>
      </c>
      <c r="O359" s="155">
        <f t="shared" si="1065"/>
        <v>20</v>
      </c>
      <c r="P359" s="155">
        <f t="shared" si="1066"/>
        <v>20</v>
      </c>
      <c r="Q359" s="155">
        <f t="shared" si="1088"/>
        <v>5</v>
      </c>
      <c r="R359" s="153"/>
      <c r="S359" s="154">
        <f t="shared" si="1089"/>
        <v>0</v>
      </c>
      <c r="T359" s="153"/>
      <c r="U359" s="154">
        <f t="shared" si="1090"/>
        <v>0</v>
      </c>
      <c r="V359" s="155">
        <f t="shared" si="1091"/>
        <v>0</v>
      </c>
      <c r="W359" s="156">
        <f t="shared" si="1092"/>
        <v>0</v>
      </c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27</v>
      </c>
      <c r="D360" s="21" t="str">
        <f>Spieltag!B347</f>
        <v>Davie Selke</v>
      </c>
      <c r="E360" s="151" t="str">
        <f>Spieltag!C347</f>
        <v>Sturm</v>
      </c>
      <c r="F360" s="152" t="s">
        <v>176</v>
      </c>
      <c r="G360" s="153"/>
      <c r="H360" s="154">
        <f t="shared" si="1084"/>
        <v>0</v>
      </c>
      <c r="I360" s="153"/>
      <c r="J360" s="154">
        <f t="shared" si="1085"/>
        <v>0</v>
      </c>
      <c r="K360" s="153"/>
      <c r="L360" s="154">
        <f t="shared" si="1086"/>
        <v>0</v>
      </c>
      <c r="M360" s="153"/>
      <c r="N360" s="154">
        <f t="shared" si="1087"/>
        <v>0</v>
      </c>
      <c r="O360" s="155">
        <f t="shared" si="1065"/>
        <v>20</v>
      </c>
      <c r="P360" s="155">
        <f t="shared" si="1066"/>
        <v>20</v>
      </c>
      <c r="Q360" s="155">
        <f t="shared" si="1088"/>
        <v>5</v>
      </c>
      <c r="R360" s="153"/>
      <c r="S360" s="154">
        <f t="shared" si="1089"/>
        <v>0</v>
      </c>
      <c r="T360" s="153"/>
      <c r="U360" s="154">
        <f t="shared" si="1090"/>
        <v>0</v>
      </c>
      <c r="V360" s="155">
        <f t="shared" si="1091"/>
        <v>0</v>
      </c>
      <c r="W360" s="156">
        <f t="shared" si="1092"/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33</v>
      </c>
      <c r="D361" s="21" t="str">
        <f>Spieltag!B348</f>
        <v>Florian Dietz</v>
      </c>
      <c r="E361" s="151" t="str">
        <f>Spieltag!C348</f>
        <v>Sturm</v>
      </c>
      <c r="F361" s="152" t="s">
        <v>176</v>
      </c>
      <c r="G361" s="153"/>
      <c r="H361" s="154">
        <f t="shared" si="1084"/>
        <v>0</v>
      </c>
      <c r="I361" s="153"/>
      <c r="J361" s="154">
        <f t="shared" si="1085"/>
        <v>0</v>
      </c>
      <c r="K361" s="153"/>
      <c r="L361" s="154">
        <f t="shared" si="1086"/>
        <v>0</v>
      </c>
      <c r="M361" s="153"/>
      <c r="N361" s="154">
        <f t="shared" si="1087"/>
        <v>0</v>
      </c>
      <c r="O361" s="155">
        <f t="shared" si="1065"/>
        <v>20</v>
      </c>
      <c r="P361" s="155">
        <f t="shared" si="1066"/>
        <v>20</v>
      </c>
      <c r="Q361" s="155">
        <f t="shared" si="1088"/>
        <v>5</v>
      </c>
      <c r="R361" s="153"/>
      <c r="S361" s="154">
        <f t="shared" si="1089"/>
        <v>0</v>
      </c>
      <c r="T361" s="153"/>
      <c r="U361" s="154">
        <f t="shared" si="1090"/>
        <v>0</v>
      </c>
      <c r="V361" s="155">
        <f t="shared" si="1091"/>
        <v>0</v>
      </c>
      <c r="W361" s="156">
        <f t="shared" si="1092"/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42</v>
      </c>
      <c r="D362" s="21" t="str">
        <f>Spieltag!B349</f>
        <v>Damian Downs</v>
      </c>
      <c r="E362" s="151" t="str">
        <f>Spieltag!C349</f>
        <v>Sturm</v>
      </c>
      <c r="F362" s="152" t="s">
        <v>176</v>
      </c>
      <c r="G362" s="153"/>
      <c r="H362" s="154">
        <f t="shared" si="1084"/>
        <v>0</v>
      </c>
      <c r="I362" s="153"/>
      <c r="J362" s="154">
        <f t="shared" si="1085"/>
        <v>0</v>
      </c>
      <c r="K362" s="153"/>
      <c r="L362" s="154">
        <f t="shared" si="1086"/>
        <v>0</v>
      </c>
      <c r="M362" s="153"/>
      <c r="N362" s="154">
        <f t="shared" si="1087"/>
        <v>0</v>
      </c>
      <c r="O362" s="155">
        <f t="shared" si="1065"/>
        <v>20</v>
      </c>
      <c r="P362" s="155">
        <f t="shared" si="1066"/>
        <v>20</v>
      </c>
      <c r="Q362" s="155">
        <f t="shared" si="1088"/>
        <v>5</v>
      </c>
      <c r="R362" s="153"/>
      <c r="S362" s="154">
        <f t="shared" si="1089"/>
        <v>0</v>
      </c>
      <c r="T362" s="153"/>
      <c r="U362" s="154">
        <f t="shared" si="1090"/>
        <v>0</v>
      </c>
      <c r="V362" s="155">
        <f t="shared" si="1091"/>
        <v>0</v>
      </c>
      <c r="W362" s="156">
        <f t="shared" si="1092"/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45</v>
      </c>
      <c r="D363" s="21" t="str">
        <f>Spieltag!B350</f>
        <v>Justin Diehl</v>
      </c>
      <c r="E363" s="151" t="str">
        <f>Spieltag!C350</f>
        <v>Sturm</v>
      </c>
      <c r="F363" s="152" t="s">
        <v>176</v>
      </c>
      <c r="G363" s="153"/>
      <c r="H363" s="154">
        <f t="shared" ref="H363" si="1093">IF(G363="x",10,0)</f>
        <v>0</v>
      </c>
      <c r="I363" s="153"/>
      <c r="J363" s="154">
        <f t="shared" ref="J363" si="1094">IF((I363="x"),-10,0)</f>
        <v>0</v>
      </c>
      <c r="K363" s="153"/>
      <c r="L363" s="154">
        <f t="shared" ref="L363" si="1095">IF((K363="x"),-20,0)</f>
        <v>0</v>
      </c>
      <c r="M363" s="153"/>
      <c r="N363" s="154">
        <f t="shared" ref="N363" si="1096">IF((M363="x"),-30,0)</f>
        <v>0</v>
      </c>
      <c r="O363" s="155">
        <f t="shared" si="1065"/>
        <v>20</v>
      </c>
      <c r="P363" s="155">
        <f t="shared" si="1066"/>
        <v>20</v>
      </c>
      <c r="Q363" s="155">
        <f t="shared" si="1088"/>
        <v>5</v>
      </c>
      <c r="R363" s="153"/>
      <c r="S363" s="154">
        <f t="shared" ref="S363" si="1097">R363*10</f>
        <v>0</v>
      </c>
      <c r="T363" s="153"/>
      <c r="U363" s="154">
        <f t="shared" ref="U363" si="1098">T363*-15</f>
        <v>0</v>
      </c>
      <c r="V363" s="155">
        <f t="shared" ref="V363" si="1099">IF(AND(R363=2),10,IF(R363=3,30,IF(R363=4,50,IF(R363=5,70,0))))</f>
        <v>0</v>
      </c>
      <c r="W363" s="156">
        <f t="shared" ref="W363" si="1100">IF(G363="x",H363+J363+L363+N363+O363+P363+Q363+S363+U363+V363,0)</f>
        <v>0</v>
      </c>
    </row>
    <row r="364" spans="1:23" s="144" customFormat="1" ht="17.25" hidden="1" thickBot="1" x14ac:dyDescent="0.25">
      <c r="A364" s="142"/>
      <c r="B364" s="143">
        <f>SUM(B365:B391)</f>
        <v>0</v>
      </c>
      <c r="C364" s="158"/>
      <c r="D364" s="234" t="s">
        <v>119</v>
      </c>
      <c r="E364" s="234"/>
      <c r="F364" s="234"/>
      <c r="G364" s="234"/>
      <c r="H364" s="234"/>
      <c r="I364" s="234"/>
      <c r="J364" s="234"/>
      <c r="K364" s="234"/>
      <c r="L364" s="234"/>
      <c r="M364" s="234"/>
      <c r="N364" s="234"/>
      <c r="O364" s="234"/>
      <c r="P364" s="234"/>
      <c r="Q364" s="234"/>
      <c r="R364" s="234"/>
      <c r="S364" s="234"/>
      <c r="T364" s="234"/>
      <c r="U364" s="234"/>
      <c r="V364" s="234"/>
      <c r="W364" s="235"/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1</v>
      </c>
      <c r="D365" s="21" t="str">
        <f>Spieltag!B352</f>
        <v>Oliver Baumann</v>
      </c>
      <c r="E365" s="151" t="str">
        <f>Spieltag!C352</f>
        <v>Torwart</v>
      </c>
      <c r="F365" s="152" t="s">
        <v>77</v>
      </c>
      <c r="G365" s="153"/>
      <c r="H365" s="154">
        <f t="shared" ref="H365" si="1101">IF(G365="x",10,0)</f>
        <v>0</v>
      </c>
      <c r="I365" s="153"/>
      <c r="J365" s="154">
        <f t="shared" ref="J365" si="1102">IF((I365="x"),-10,0)</f>
        <v>0</v>
      </c>
      <c r="K365" s="153"/>
      <c r="L365" s="154">
        <f t="shared" ref="L365" si="1103">IF((K365="x"),-20,0)</f>
        <v>0</v>
      </c>
      <c r="M365" s="153"/>
      <c r="N365" s="154">
        <f t="shared" ref="N365" si="1104">IF((M365="x"),-30,0)</f>
        <v>0</v>
      </c>
      <c r="O365" s="155">
        <f t="shared" ref="O365:O391" si="1105">IF(AND($V$3&gt;$W$3),20,IF($V$3=$W$3,10,0))</f>
        <v>10</v>
      </c>
      <c r="P365" s="155">
        <f t="shared" ref="P365:P391" si="1106">IF(($V$3&lt;&gt;0),$V$3*10,-5)</f>
        <v>20</v>
      </c>
      <c r="Q365" s="155">
        <f>IF(($W$3&lt;&gt;0),$W$3*-10,20)</f>
        <v>-20</v>
      </c>
      <c r="R365" s="153"/>
      <c r="S365" s="154">
        <f>R365*20</f>
        <v>0</v>
      </c>
      <c r="T365" s="153"/>
      <c r="U365" s="154">
        <f t="shared" ref="U365" si="1107">T365*-15</f>
        <v>0</v>
      </c>
      <c r="V365" s="155">
        <f t="shared" ref="V365" si="1108">IF(AND(R365=2),10,IF(R365=3,30,IF(R365=4,50,IF(R365=5,70,0))))</f>
        <v>0</v>
      </c>
      <c r="W365" s="156">
        <f t="shared" ref="W365" si="1109">IF(G365="x",H365+J365+L365+N365+O365+P365+Q365+S365+U365+V365,0)</f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36</v>
      </c>
      <c r="D366" s="21" t="str">
        <f>Spieltag!B353</f>
        <v>Nahuell Noll</v>
      </c>
      <c r="E366" s="151" t="str">
        <f>Spieltag!C353</f>
        <v>Torwart</v>
      </c>
      <c r="F366" s="152" t="s">
        <v>77</v>
      </c>
      <c r="G366" s="153"/>
      <c r="H366" s="154">
        <f t="shared" ref="H366:H367" si="1110">IF(G366="x",10,0)</f>
        <v>0</v>
      </c>
      <c r="I366" s="153"/>
      <c r="J366" s="154">
        <f t="shared" ref="J366:J367" si="1111">IF((I366="x"),-10,0)</f>
        <v>0</v>
      </c>
      <c r="K366" s="153"/>
      <c r="L366" s="154">
        <f t="shared" ref="L366:L367" si="1112">IF((K366="x"),-20,0)</f>
        <v>0</v>
      </c>
      <c r="M366" s="153"/>
      <c r="N366" s="154">
        <f t="shared" ref="N366:N367" si="1113">IF((M366="x"),-30,0)</f>
        <v>0</v>
      </c>
      <c r="O366" s="155">
        <f t="shared" si="1105"/>
        <v>10</v>
      </c>
      <c r="P366" s="155">
        <f t="shared" si="1106"/>
        <v>20</v>
      </c>
      <c r="Q366" s="155">
        <f t="shared" ref="Q366:Q367" si="1114">IF(($W$3&lt;&gt;0),$W$3*-10,20)</f>
        <v>-20</v>
      </c>
      <c r="R366" s="153"/>
      <c r="S366" s="154">
        <f t="shared" ref="S366:S367" si="1115">R366*20</f>
        <v>0</v>
      </c>
      <c r="T366" s="153"/>
      <c r="U366" s="154">
        <f t="shared" ref="U366:U367" si="1116">T366*-15</f>
        <v>0</v>
      </c>
      <c r="V366" s="155">
        <f t="shared" ref="V366:V367" si="1117">IF(AND(R366=2),10,IF(R366=3,30,IF(R366=4,50,IF(R366=5,70,0))))</f>
        <v>0</v>
      </c>
      <c r="W366" s="156">
        <f t="shared" ref="W366:W367" si="1118">IF(G366="x",H366+J366+L366+N366+O366+P366+Q366+S366+U366+V366,0)</f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37</v>
      </c>
      <c r="D367" s="21" t="str">
        <f>Spieltag!B354</f>
        <v>Luca Philipp</v>
      </c>
      <c r="E367" s="151" t="str">
        <f>Spieltag!C354</f>
        <v>Torwart</v>
      </c>
      <c r="F367" s="152" t="s">
        <v>77</v>
      </c>
      <c r="G367" s="153"/>
      <c r="H367" s="154">
        <f t="shared" si="1110"/>
        <v>0</v>
      </c>
      <c r="I367" s="153"/>
      <c r="J367" s="154">
        <f t="shared" si="1111"/>
        <v>0</v>
      </c>
      <c r="K367" s="153"/>
      <c r="L367" s="154">
        <f t="shared" si="1112"/>
        <v>0</v>
      </c>
      <c r="M367" s="153"/>
      <c r="N367" s="154">
        <f t="shared" si="1113"/>
        <v>0</v>
      </c>
      <c r="O367" s="155">
        <f t="shared" si="1105"/>
        <v>10</v>
      </c>
      <c r="P367" s="155">
        <f t="shared" si="1106"/>
        <v>20</v>
      </c>
      <c r="Q367" s="155">
        <f t="shared" si="1114"/>
        <v>-20</v>
      </c>
      <c r="R367" s="153"/>
      <c r="S367" s="154">
        <f t="shared" si="1115"/>
        <v>0</v>
      </c>
      <c r="T367" s="153"/>
      <c r="U367" s="154">
        <f t="shared" si="1116"/>
        <v>0</v>
      </c>
      <c r="V367" s="155">
        <f t="shared" si="1117"/>
        <v>0</v>
      </c>
      <c r="W367" s="156">
        <f t="shared" si="1118"/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3</v>
      </c>
      <c r="D368" s="21" t="str">
        <f>Spieltag!B355</f>
        <v>Pavel Kaderábek (A)</v>
      </c>
      <c r="E368" s="151" t="str">
        <f>Spieltag!C355</f>
        <v>Abwehr</v>
      </c>
      <c r="F368" s="152" t="s">
        <v>77</v>
      </c>
      <c r="G368" s="153"/>
      <c r="H368" s="154">
        <f t="shared" ref="H368" si="1119">IF(G368="x",10,0)</f>
        <v>0</v>
      </c>
      <c r="I368" s="153"/>
      <c r="J368" s="154">
        <f t="shared" ref="J368" si="1120">IF((I368="x"),-10,0)</f>
        <v>0</v>
      </c>
      <c r="K368" s="153"/>
      <c r="L368" s="154">
        <f t="shared" ref="L368" si="1121">IF((K368="x"),-20,0)</f>
        <v>0</v>
      </c>
      <c r="M368" s="153"/>
      <c r="N368" s="154">
        <f t="shared" ref="N368" si="1122">IF((M368="x"),-30,0)</f>
        <v>0</v>
      </c>
      <c r="O368" s="155">
        <f t="shared" si="1105"/>
        <v>10</v>
      </c>
      <c r="P368" s="155">
        <f t="shared" si="1106"/>
        <v>20</v>
      </c>
      <c r="Q368" s="155">
        <f t="shared" ref="Q368:Q374" si="1123">IF(($W$3&lt;&gt;0),$W$3*-10,15)</f>
        <v>-20</v>
      </c>
      <c r="R368" s="153"/>
      <c r="S368" s="154">
        <f t="shared" ref="S368" si="1124">R368*15</f>
        <v>0</v>
      </c>
      <c r="T368" s="153"/>
      <c r="U368" s="154">
        <f t="shared" ref="U368" si="1125">T368*-15</f>
        <v>0</v>
      </c>
      <c r="V368" s="155">
        <f t="shared" ref="V368" si="1126">IF(AND(R368=2),10,IF(R368=3,30,IF(R368=4,50,IF(R368=5,70,0))))</f>
        <v>0</v>
      </c>
      <c r="W368" s="156">
        <f t="shared" ref="W368" si="1127">IF(G368="x",H368+J368+L368+N368+O368+P368+Q368+S368+U368+V368,0)</f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5</v>
      </c>
      <c r="D369" s="21" t="str">
        <f>Spieltag!B356</f>
        <v>Ozan Kabak (A)</v>
      </c>
      <c r="E369" s="151" t="str">
        <f>Spieltag!C356</f>
        <v>Abwehr</v>
      </c>
      <c r="F369" s="152" t="s">
        <v>77</v>
      </c>
      <c r="G369" s="153"/>
      <c r="H369" s="154">
        <f t="shared" ref="H369:H374" si="1128">IF(G369="x",10,0)</f>
        <v>0</v>
      </c>
      <c r="I369" s="153"/>
      <c r="J369" s="154">
        <f t="shared" ref="J369:J374" si="1129">IF((I369="x"),-10,0)</f>
        <v>0</v>
      </c>
      <c r="K369" s="153"/>
      <c r="L369" s="154">
        <f t="shared" ref="L369:L374" si="1130">IF((K369="x"),-20,0)</f>
        <v>0</v>
      </c>
      <c r="M369" s="153"/>
      <c r="N369" s="154">
        <f t="shared" ref="N369:N374" si="1131">IF((M369="x"),-30,0)</f>
        <v>0</v>
      </c>
      <c r="O369" s="155">
        <f t="shared" si="1105"/>
        <v>10</v>
      </c>
      <c r="P369" s="155">
        <f t="shared" si="1106"/>
        <v>20</v>
      </c>
      <c r="Q369" s="155">
        <f t="shared" si="1123"/>
        <v>-20</v>
      </c>
      <c r="R369" s="153"/>
      <c r="S369" s="154">
        <f t="shared" ref="S369:S374" si="1132">R369*15</f>
        <v>0</v>
      </c>
      <c r="T369" s="153"/>
      <c r="U369" s="154">
        <f t="shared" ref="U369:U374" si="1133">T369*-15</f>
        <v>0</v>
      </c>
      <c r="V369" s="155">
        <f t="shared" ref="V369:V374" si="1134">IF(AND(R369=2),10,IF(R369=3,30,IF(R369=4,50,IF(R369=5,70,0))))</f>
        <v>0</v>
      </c>
      <c r="W369" s="156">
        <f t="shared" ref="W369:W374" si="1135">IF(G369="x",H369+J369+L369+N369+O369+P369+Q369+S369+U369+V369,0)</f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15</v>
      </c>
      <c r="D370" s="21" t="str">
        <f>Spieltag!B357</f>
        <v>Kasim Adams (A)</v>
      </c>
      <c r="E370" s="151" t="str">
        <f>Spieltag!C357</f>
        <v>Abwehr</v>
      </c>
      <c r="F370" s="152" t="s">
        <v>77</v>
      </c>
      <c r="G370" s="153"/>
      <c r="H370" s="154">
        <f t="shared" si="1128"/>
        <v>0</v>
      </c>
      <c r="I370" s="153"/>
      <c r="J370" s="154">
        <f t="shared" si="1129"/>
        <v>0</v>
      </c>
      <c r="K370" s="153"/>
      <c r="L370" s="154">
        <f t="shared" si="1130"/>
        <v>0</v>
      </c>
      <c r="M370" s="153"/>
      <c r="N370" s="154">
        <f t="shared" si="1131"/>
        <v>0</v>
      </c>
      <c r="O370" s="155">
        <f t="shared" si="1105"/>
        <v>10</v>
      </c>
      <c r="P370" s="155">
        <f t="shared" si="1106"/>
        <v>20</v>
      </c>
      <c r="Q370" s="155">
        <f t="shared" si="1123"/>
        <v>-20</v>
      </c>
      <c r="R370" s="153"/>
      <c r="S370" s="154">
        <f t="shared" si="1132"/>
        <v>0</v>
      </c>
      <c r="T370" s="153"/>
      <c r="U370" s="154">
        <f t="shared" si="1133"/>
        <v>0</v>
      </c>
      <c r="V370" s="155">
        <f t="shared" si="1134"/>
        <v>0</v>
      </c>
      <c r="W370" s="156">
        <f t="shared" si="1135"/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19</v>
      </c>
      <c r="D371" s="21" t="str">
        <f>Spieltag!B358</f>
        <v>David Jurasek (A)</v>
      </c>
      <c r="E371" s="151" t="str">
        <f>Spieltag!C358</f>
        <v>Abwehr</v>
      </c>
      <c r="F371" s="152" t="s">
        <v>77</v>
      </c>
      <c r="G371" s="153"/>
      <c r="H371" s="154">
        <f t="shared" ref="H371" si="1136">IF(G371="x",10,0)</f>
        <v>0</v>
      </c>
      <c r="I371" s="153"/>
      <c r="J371" s="154">
        <f t="shared" ref="J371" si="1137">IF((I371="x"),-10,0)</f>
        <v>0</v>
      </c>
      <c r="K371" s="153"/>
      <c r="L371" s="154">
        <f t="shared" ref="L371" si="1138">IF((K371="x"),-20,0)</f>
        <v>0</v>
      </c>
      <c r="M371" s="153"/>
      <c r="N371" s="154">
        <f t="shared" ref="N371" si="1139">IF((M371="x"),-30,0)</f>
        <v>0</v>
      </c>
      <c r="O371" s="155">
        <f t="shared" si="1105"/>
        <v>10</v>
      </c>
      <c r="P371" s="155">
        <f t="shared" si="1106"/>
        <v>20</v>
      </c>
      <c r="Q371" s="155">
        <f t="shared" si="1123"/>
        <v>-20</v>
      </c>
      <c r="R371" s="153"/>
      <c r="S371" s="154">
        <f t="shared" ref="S371" si="1140">R371*15</f>
        <v>0</v>
      </c>
      <c r="T371" s="153"/>
      <c r="U371" s="154">
        <f t="shared" ref="U371" si="1141">T371*-15</f>
        <v>0</v>
      </c>
      <c r="V371" s="155">
        <f t="shared" ref="V371" si="1142">IF(AND(R371=2),10,IF(R371=3,30,IF(R371=4,50,IF(R371=5,70,0))))</f>
        <v>0</v>
      </c>
      <c r="W371" s="156">
        <f t="shared" ref="W371" si="1143"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23</v>
      </c>
      <c r="D372" s="21" t="str">
        <f>Spieltag!B359</f>
        <v>John Anthony Brooks</v>
      </c>
      <c r="E372" s="151" t="str">
        <f>Spieltag!C359</f>
        <v>Abwehr</v>
      </c>
      <c r="F372" s="152" t="s">
        <v>77</v>
      </c>
      <c r="G372" s="153"/>
      <c r="H372" s="154">
        <f t="shared" si="1128"/>
        <v>0</v>
      </c>
      <c r="I372" s="153"/>
      <c r="J372" s="154">
        <f t="shared" si="1129"/>
        <v>0</v>
      </c>
      <c r="K372" s="153"/>
      <c r="L372" s="154">
        <f t="shared" si="1130"/>
        <v>0</v>
      </c>
      <c r="M372" s="153"/>
      <c r="N372" s="154">
        <f t="shared" si="1131"/>
        <v>0</v>
      </c>
      <c r="O372" s="155">
        <f t="shared" si="1105"/>
        <v>10</v>
      </c>
      <c r="P372" s="155">
        <f t="shared" si="1106"/>
        <v>20</v>
      </c>
      <c r="Q372" s="155">
        <f t="shared" si="1123"/>
        <v>-20</v>
      </c>
      <c r="R372" s="153"/>
      <c r="S372" s="154">
        <f t="shared" si="1132"/>
        <v>0</v>
      </c>
      <c r="T372" s="153"/>
      <c r="U372" s="154">
        <f t="shared" si="1133"/>
        <v>0</v>
      </c>
      <c r="V372" s="155">
        <f t="shared" si="1134"/>
        <v>0</v>
      </c>
      <c r="W372" s="156">
        <f t="shared" si="1135"/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25</v>
      </c>
      <c r="D373" s="21" t="str">
        <f>Spieltag!B360</f>
        <v>Kevin Akpoguma</v>
      </c>
      <c r="E373" s="151" t="str">
        <f>Spieltag!C360</f>
        <v>Abwehr</v>
      </c>
      <c r="F373" s="152" t="s">
        <v>77</v>
      </c>
      <c r="G373" s="153"/>
      <c r="H373" s="154">
        <f t="shared" si="1128"/>
        <v>0</v>
      </c>
      <c r="I373" s="153"/>
      <c r="J373" s="154">
        <f t="shared" si="1129"/>
        <v>0</v>
      </c>
      <c r="K373" s="153"/>
      <c r="L373" s="154">
        <f t="shared" si="1130"/>
        <v>0</v>
      </c>
      <c r="M373" s="153"/>
      <c r="N373" s="154">
        <f t="shared" si="1131"/>
        <v>0</v>
      </c>
      <c r="O373" s="155">
        <f t="shared" si="1105"/>
        <v>10</v>
      </c>
      <c r="P373" s="155">
        <f t="shared" si="1106"/>
        <v>20</v>
      </c>
      <c r="Q373" s="155">
        <f t="shared" si="1123"/>
        <v>-20</v>
      </c>
      <c r="R373" s="153"/>
      <c r="S373" s="154">
        <f t="shared" si="1132"/>
        <v>0</v>
      </c>
      <c r="T373" s="153"/>
      <c r="U373" s="154">
        <f t="shared" si="1133"/>
        <v>0</v>
      </c>
      <c r="V373" s="155">
        <f t="shared" si="1134"/>
        <v>0</v>
      </c>
      <c r="W373" s="156">
        <f t="shared" si="1135"/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34</v>
      </c>
      <c r="D374" s="21" t="str">
        <f>Spieltag!B361</f>
        <v>Stanley Nsoki (A)</v>
      </c>
      <c r="E374" s="151" t="str">
        <f>Spieltag!C361</f>
        <v>Abwehr</v>
      </c>
      <c r="F374" s="152" t="s">
        <v>77</v>
      </c>
      <c r="G374" s="153"/>
      <c r="H374" s="154">
        <f t="shared" si="1128"/>
        <v>0</v>
      </c>
      <c r="I374" s="153"/>
      <c r="J374" s="154">
        <f t="shared" si="1129"/>
        <v>0</v>
      </c>
      <c r="K374" s="153"/>
      <c r="L374" s="154">
        <f t="shared" si="1130"/>
        <v>0</v>
      </c>
      <c r="M374" s="153"/>
      <c r="N374" s="154">
        <f t="shared" si="1131"/>
        <v>0</v>
      </c>
      <c r="O374" s="155">
        <f t="shared" si="1105"/>
        <v>10</v>
      </c>
      <c r="P374" s="155">
        <f t="shared" si="1106"/>
        <v>20</v>
      </c>
      <c r="Q374" s="155">
        <f t="shared" si="1123"/>
        <v>-20</v>
      </c>
      <c r="R374" s="153"/>
      <c r="S374" s="154">
        <f t="shared" si="1132"/>
        <v>0</v>
      </c>
      <c r="T374" s="153"/>
      <c r="U374" s="154">
        <f t="shared" si="1133"/>
        <v>0</v>
      </c>
      <c r="V374" s="155">
        <f t="shared" si="1134"/>
        <v>0</v>
      </c>
      <c r="W374" s="156">
        <f t="shared" si="1135"/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6</v>
      </c>
      <c r="D375" s="21" t="str">
        <f>Spieltag!B362</f>
        <v>Grischa Prömel</v>
      </c>
      <c r="E375" s="151" t="str">
        <f>Spieltag!C362</f>
        <v>Mittelfeld</v>
      </c>
      <c r="F375" s="152" t="s">
        <v>77</v>
      </c>
      <c r="G375" s="153"/>
      <c r="H375" s="154">
        <f>IF(G375="x",10,0)</f>
        <v>0</v>
      </c>
      <c r="I375" s="153"/>
      <c r="J375" s="154">
        <f>IF((I375="x"),-10,0)</f>
        <v>0</v>
      </c>
      <c r="K375" s="153"/>
      <c r="L375" s="154">
        <f>IF((K375="x"),-20,0)</f>
        <v>0</v>
      </c>
      <c r="M375" s="153"/>
      <c r="N375" s="154">
        <f>IF((M375="x"),-30,0)</f>
        <v>0</v>
      </c>
      <c r="O375" s="155">
        <f t="shared" si="1105"/>
        <v>10</v>
      </c>
      <c r="P375" s="155">
        <f t="shared" si="1106"/>
        <v>20</v>
      </c>
      <c r="Q375" s="155">
        <f t="shared" ref="Q375:Q384" si="1144">IF(($W$3&lt;&gt;0),$W$3*-10,10)</f>
        <v>-20</v>
      </c>
      <c r="R375" s="153"/>
      <c r="S375" s="154">
        <f>R375*10</f>
        <v>0</v>
      </c>
      <c r="T375" s="153"/>
      <c r="U375" s="154">
        <f>T375*-15</f>
        <v>0</v>
      </c>
      <c r="V375" s="155">
        <f>IF(AND(R375=2),10,IF(R375=3,30,IF(R375=4,50,IF(R375=5,70,0))))</f>
        <v>0</v>
      </c>
      <c r="W375" s="156">
        <f>IF(G375="x",H375+J375+L375+N375+O375+P375+Q375+S375+U375+V375,0)</f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8</v>
      </c>
      <c r="D376" s="21" t="str">
        <f>Spieltag!B363</f>
        <v>Dennis Geiger</v>
      </c>
      <c r="E376" s="151" t="str">
        <f>Spieltag!C363</f>
        <v>Mittelfeld</v>
      </c>
      <c r="F376" s="152" t="s">
        <v>77</v>
      </c>
      <c r="G376" s="153"/>
      <c r="H376" s="154">
        <f t="shared" ref="H376:H384" si="1145">IF(G376="x",10,0)</f>
        <v>0</v>
      </c>
      <c r="I376" s="153"/>
      <c r="J376" s="154">
        <f t="shared" ref="J376:J384" si="1146">IF((I376="x"),-10,0)</f>
        <v>0</v>
      </c>
      <c r="K376" s="153"/>
      <c r="L376" s="154">
        <f t="shared" ref="L376:L384" si="1147">IF((K376="x"),-20,0)</f>
        <v>0</v>
      </c>
      <c r="M376" s="153"/>
      <c r="N376" s="154">
        <f t="shared" ref="N376:N384" si="1148">IF((M376="x"),-30,0)</f>
        <v>0</v>
      </c>
      <c r="O376" s="155">
        <f t="shared" si="1105"/>
        <v>10</v>
      </c>
      <c r="P376" s="155">
        <f t="shared" si="1106"/>
        <v>20</v>
      </c>
      <c r="Q376" s="155">
        <f t="shared" si="1144"/>
        <v>-20</v>
      </c>
      <c r="R376" s="153"/>
      <c r="S376" s="154">
        <f t="shared" ref="S376:S384" si="1149">R376*10</f>
        <v>0</v>
      </c>
      <c r="T376" s="153"/>
      <c r="U376" s="154">
        <f t="shared" ref="U376:U384" si="1150">T376*-15</f>
        <v>0</v>
      </c>
      <c r="V376" s="155">
        <f t="shared" ref="V376:V383" si="1151">IF(AND(R376=2),10,IF(R376=3,30,IF(R376=4,50,IF(R376=5,70,0))))</f>
        <v>0</v>
      </c>
      <c r="W376" s="156">
        <f t="shared" ref="W376:W383" si="1152">IF(G376="x",H376+J376+L376+N376+O376+P376+Q376+S376+U376+V376,0)</f>
        <v>0</v>
      </c>
    </row>
    <row r="377" spans="1:23" ht="10.5" hidden="1" customHeight="1" x14ac:dyDescent="0.2">
      <c r="A377" s="11"/>
      <c r="B377" s="150">
        <f>COUNTA(Spieltag!K364:AA364)</f>
        <v>0</v>
      </c>
      <c r="C377" s="166">
        <f>Spieltag!A364</f>
        <v>11</v>
      </c>
      <c r="D377" s="21" t="str">
        <f>Spieltag!B364</f>
        <v>Florian Grillitsch (A)</v>
      </c>
      <c r="E377" s="151" t="str">
        <f>Spieltag!C364</f>
        <v>Mittelfeld</v>
      </c>
      <c r="F377" s="152" t="s">
        <v>77</v>
      </c>
      <c r="G377" s="153"/>
      <c r="H377" s="154">
        <f t="shared" si="1145"/>
        <v>0</v>
      </c>
      <c r="I377" s="153"/>
      <c r="J377" s="154">
        <f t="shared" si="1146"/>
        <v>0</v>
      </c>
      <c r="K377" s="153"/>
      <c r="L377" s="154">
        <f t="shared" si="1147"/>
        <v>0</v>
      </c>
      <c r="M377" s="153"/>
      <c r="N377" s="154">
        <f t="shared" si="1148"/>
        <v>0</v>
      </c>
      <c r="O377" s="155">
        <f t="shared" si="1105"/>
        <v>10</v>
      </c>
      <c r="P377" s="155">
        <f t="shared" si="1106"/>
        <v>20</v>
      </c>
      <c r="Q377" s="155">
        <f t="shared" si="1144"/>
        <v>-20</v>
      </c>
      <c r="R377" s="153"/>
      <c r="S377" s="154">
        <f t="shared" si="1149"/>
        <v>0</v>
      </c>
      <c r="T377" s="153"/>
      <c r="U377" s="154">
        <f t="shared" si="1150"/>
        <v>0</v>
      </c>
      <c r="V377" s="155">
        <f t="shared" si="1151"/>
        <v>0</v>
      </c>
      <c r="W377" s="156">
        <f t="shared" si="1152"/>
        <v>0</v>
      </c>
    </row>
    <row r="378" spans="1:23" ht="10.5" hidden="1" customHeight="1" x14ac:dyDescent="0.2">
      <c r="A378" s="11"/>
      <c r="B378" s="150">
        <f>COUNTA(Spieltag!K365:AA365)</f>
        <v>0</v>
      </c>
      <c r="C378" s="166">
        <f>Spieltag!A365</f>
        <v>16</v>
      </c>
      <c r="D378" s="21" t="str">
        <f>Spieltag!B365</f>
        <v>Anton Stach</v>
      </c>
      <c r="E378" s="151" t="str">
        <f>Spieltag!C365</f>
        <v>Mittelfeld</v>
      </c>
      <c r="F378" s="152" t="s">
        <v>77</v>
      </c>
      <c r="G378" s="153"/>
      <c r="H378" s="154">
        <f t="shared" ref="H378" si="1153">IF(G378="x",10,0)</f>
        <v>0</v>
      </c>
      <c r="I378" s="153"/>
      <c r="J378" s="154">
        <f t="shared" ref="J378" si="1154">IF((I378="x"),-10,0)</f>
        <v>0</v>
      </c>
      <c r="K378" s="153"/>
      <c r="L378" s="154">
        <f t="shared" ref="L378" si="1155">IF((K378="x"),-20,0)</f>
        <v>0</v>
      </c>
      <c r="M378" s="153"/>
      <c r="N378" s="154">
        <f t="shared" ref="N378" si="1156">IF((M378="x"),-30,0)</f>
        <v>0</v>
      </c>
      <c r="O378" s="155">
        <f t="shared" si="1105"/>
        <v>10</v>
      </c>
      <c r="P378" s="155">
        <f t="shared" si="1106"/>
        <v>20</v>
      </c>
      <c r="Q378" s="155">
        <f t="shared" si="1144"/>
        <v>-20</v>
      </c>
      <c r="R378" s="153"/>
      <c r="S378" s="154">
        <f t="shared" ref="S378" si="1157">R378*10</f>
        <v>0</v>
      </c>
      <c r="T378" s="153"/>
      <c r="U378" s="154">
        <f t="shared" ref="U378" si="1158">T378*-15</f>
        <v>0</v>
      </c>
      <c r="V378" s="155">
        <f t="shared" ref="V378" si="1159">IF(AND(R378=2),10,IF(R378=3,30,IF(R378=4,50,IF(R378=5,70,0))))</f>
        <v>0</v>
      </c>
      <c r="W378" s="156">
        <f t="shared" ref="W378" si="1160">IF(G378="x",H378+J378+L378+N378+O378+P378+Q378+S378+U378+V378,0)</f>
        <v>0</v>
      </c>
    </row>
    <row r="379" spans="1:23" ht="10.5" hidden="1" customHeight="1" x14ac:dyDescent="0.2">
      <c r="A379" s="11"/>
      <c r="B379" s="150">
        <f>COUNTA(Spieltag!K366:AA366)</f>
        <v>0</v>
      </c>
      <c r="C379" s="166">
        <f>Spieltag!A366</f>
        <v>18</v>
      </c>
      <c r="D379" s="21" t="str">
        <f>Spieltag!B366</f>
        <v>Diadie Samassékou (A)</v>
      </c>
      <c r="E379" s="151" t="str">
        <f>Spieltag!C366</f>
        <v>Mittelfeld</v>
      </c>
      <c r="F379" s="152" t="s">
        <v>77</v>
      </c>
      <c r="G379" s="153"/>
      <c r="H379" s="154">
        <f t="shared" si="1145"/>
        <v>0</v>
      </c>
      <c r="I379" s="153"/>
      <c r="J379" s="154">
        <f t="shared" si="1146"/>
        <v>0</v>
      </c>
      <c r="K379" s="153"/>
      <c r="L379" s="154">
        <f t="shared" si="1147"/>
        <v>0</v>
      </c>
      <c r="M379" s="153"/>
      <c r="N379" s="154">
        <f t="shared" si="1148"/>
        <v>0</v>
      </c>
      <c r="O379" s="155">
        <f t="shared" si="1105"/>
        <v>10</v>
      </c>
      <c r="P379" s="155">
        <f t="shared" si="1106"/>
        <v>20</v>
      </c>
      <c r="Q379" s="155">
        <f t="shared" si="1144"/>
        <v>-20</v>
      </c>
      <c r="R379" s="153"/>
      <c r="S379" s="154">
        <f t="shared" si="1149"/>
        <v>0</v>
      </c>
      <c r="T379" s="153"/>
      <c r="U379" s="154">
        <f t="shared" si="1150"/>
        <v>0</v>
      </c>
      <c r="V379" s="155">
        <f t="shared" si="1151"/>
        <v>0</v>
      </c>
      <c r="W379" s="156">
        <f t="shared" si="1152"/>
        <v>0</v>
      </c>
    </row>
    <row r="380" spans="1:23" ht="10.5" hidden="1" customHeight="1" x14ac:dyDescent="0.2">
      <c r="A380" s="11"/>
      <c r="B380" s="150">
        <f>COUNTA(Spieltag!K367:AA367)</f>
        <v>0</v>
      </c>
      <c r="C380" s="166">
        <f>Spieltag!A367</f>
        <v>20</v>
      </c>
      <c r="D380" s="21" t="str">
        <f>Spieltag!B367</f>
        <v>Finn Ole Becker</v>
      </c>
      <c r="E380" s="151" t="str">
        <f>Spieltag!C367</f>
        <v>Mittelfeld</v>
      </c>
      <c r="F380" s="152" t="s">
        <v>77</v>
      </c>
      <c r="G380" s="153"/>
      <c r="H380" s="154">
        <f t="shared" si="1145"/>
        <v>0</v>
      </c>
      <c r="I380" s="153"/>
      <c r="J380" s="154">
        <f t="shared" si="1146"/>
        <v>0</v>
      </c>
      <c r="K380" s="153"/>
      <c r="L380" s="154">
        <f t="shared" si="1147"/>
        <v>0</v>
      </c>
      <c r="M380" s="153"/>
      <c r="N380" s="154">
        <f t="shared" si="1148"/>
        <v>0</v>
      </c>
      <c r="O380" s="155">
        <f t="shared" si="1105"/>
        <v>10</v>
      </c>
      <c r="P380" s="155">
        <f t="shared" si="1106"/>
        <v>20</v>
      </c>
      <c r="Q380" s="155">
        <f t="shared" si="1144"/>
        <v>-20</v>
      </c>
      <c r="R380" s="153"/>
      <c r="S380" s="154">
        <f t="shared" si="1149"/>
        <v>0</v>
      </c>
      <c r="T380" s="153"/>
      <c r="U380" s="154">
        <f t="shared" si="1150"/>
        <v>0</v>
      </c>
      <c r="V380" s="155">
        <f t="shared" si="1151"/>
        <v>0</v>
      </c>
      <c r="W380" s="156">
        <f t="shared" si="1152"/>
        <v>0</v>
      </c>
    </row>
    <row r="381" spans="1:23" ht="10.5" hidden="1" customHeight="1" x14ac:dyDescent="0.2">
      <c r="A381" s="11"/>
      <c r="B381" s="150">
        <f>COUNTA(Spieltag!K368:AA368)</f>
        <v>0</v>
      </c>
      <c r="C381" s="166">
        <f>Spieltag!A368</f>
        <v>24</v>
      </c>
      <c r="D381" s="21" t="str">
        <f>Spieltag!B368</f>
        <v>Marco John</v>
      </c>
      <c r="E381" s="151" t="str">
        <f>Spieltag!C368</f>
        <v>Mittelfeld</v>
      </c>
      <c r="F381" s="152" t="s">
        <v>77</v>
      </c>
      <c r="G381" s="153"/>
      <c r="H381" s="154">
        <f t="shared" si="1145"/>
        <v>0</v>
      </c>
      <c r="I381" s="153"/>
      <c r="J381" s="154">
        <f t="shared" si="1146"/>
        <v>0</v>
      </c>
      <c r="K381" s="153"/>
      <c r="L381" s="154">
        <f t="shared" si="1147"/>
        <v>0</v>
      </c>
      <c r="M381" s="153"/>
      <c r="N381" s="154">
        <f t="shared" si="1148"/>
        <v>0</v>
      </c>
      <c r="O381" s="155">
        <f t="shared" si="1105"/>
        <v>10</v>
      </c>
      <c r="P381" s="155">
        <f t="shared" si="1106"/>
        <v>20</v>
      </c>
      <c r="Q381" s="155">
        <f t="shared" si="1144"/>
        <v>-20</v>
      </c>
      <c r="R381" s="153"/>
      <c r="S381" s="154">
        <f t="shared" si="1149"/>
        <v>0</v>
      </c>
      <c r="T381" s="153"/>
      <c r="U381" s="154">
        <f t="shared" si="1150"/>
        <v>0</v>
      </c>
      <c r="V381" s="155">
        <f t="shared" si="1151"/>
        <v>0</v>
      </c>
      <c r="W381" s="156">
        <f t="shared" si="1152"/>
        <v>0</v>
      </c>
    </row>
    <row r="382" spans="1:23" ht="10.5" hidden="1" customHeight="1" x14ac:dyDescent="0.2">
      <c r="A382" s="11"/>
      <c r="B382" s="150">
        <f>COUNTA(Spieltag!K369:AA369)</f>
        <v>0</v>
      </c>
      <c r="C382" s="166">
        <f>Spieltag!A369</f>
        <v>31</v>
      </c>
      <c r="D382" s="21" t="str">
        <f>Spieltag!B369</f>
        <v>Bambasé Conté</v>
      </c>
      <c r="E382" s="151" t="str">
        <f>Spieltag!C369</f>
        <v>Mittelfeld</v>
      </c>
      <c r="F382" s="152" t="s">
        <v>77</v>
      </c>
      <c r="G382" s="153"/>
      <c r="H382" s="154">
        <f t="shared" ref="H382" si="1161">IF(G382="x",10,0)</f>
        <v>0</v>
      </c>
      <c r="I382" s="153"/>
      <c r="J382" s="154">
        <f t="shared" ref="J382" si="1162">IF((I382="x"),-10,0)</f>
        <v>0</v>
      </c>
      <c r="K382" s="153"/>
      <c r="L382" s="154">
        <f t="shared" ref="L382" si="1163">IF((K382="x"),-20,0)</f>
        <v>0</v>
      </c>
      <c r="M382" s="153"/>
      <c r="N382" s="154">
        <f t="shared" ref="N382" si="1164">IF((M382="x"),-30,0)</f>
        <v>0</v>
      </c>
      <c r="O382" s="155">
        <f t="shared" si="1105"/>
        <v>10</v>
      </c>
      <c r="P382" s="155">
        <f t="shared" si="1106"/>
        <v>20</v>
      </c>
      <c r="Q382" s="155">
        <f t="shared" si="1144"/>
        <v>-20</v>
      </c>
      <c r="R382" s="153"/>
      <c r="S382" s="154">
        <f t="shared" ref="S382" si="1165">R382*10</f>
        <v>0</v>
      </c>
      <c r="T382" s="153"/>
      <c r="U382" s="154">
        <f t="shared" ref="U382" si="1166">T382*-15</f>
        <v>0</v>
      </c>
      <c r="V382" s="155">
        <f t="shared" ref="V382" si="1167">IF(AND(R382=2),10,IF(R382=3,30,IF(R382=4,50,IF(R382=5,70,0))))</f>
        <v>0</v>
      </c>
      <c r="W382" s="156">
        <f t="shared" ref="W382" si="1168">IF(G382="x",H382+J382+L382+N382+O382+P382+Q382+S382+U382+V382,0)</f>
        <v>0</v>
      </c>
    </row>
    <row r="383" spans="1:23" ht="10.5" hidden="1" customHeight="1" x14ac:dyDescent="0.2">
      <c r="A383" s="11"/>
      <c r="B383" s="150">
        <f>COUNTA(Spieltag!K370:AA370)</f>
        <v>0</v>
      </c>
      <c r="C383" s="166">
        <f>Spieltag!A370</f>
        <v>39</v>
      </c>
      <c r="D383" s="21" t="str">
        <f>Spieltag!B370</f>
        <v>Tom Bischof</v>
      </c>
      <c r="E383" s="151" t="str">
        <f>Spieltag!C370</f>
        <v>Mittelfeld</v>
      </c>
      <c r="F383" s="152" t="s">
        <v>77</v>
      </c>
      <c r="G383" s="153"/>
      <c r="H383" s="154">
        <f t="shared" si="1145"/>
        <v>0</v>
      </c>
      <c r="I383" s="153"/>
      <c r="J383" s="154">
        <f t="shared" si="1146"/>
        <v>0</v>
      </c>
      <c r="K383" s="153"/>
      <c r="L383" s="154">
        <f t="shared" si="1147"/>
        <v>0</v>
      </c>
      <c r="M383" s="153"/>
      <c r="N383" s="154">
        <f t="shared" si="1148"/>
        <v>0</v>
      </c>
      <c r="O383" s="155">
        <f t="shared" si="1105"/>
        <v>10</v>
      </c>
      <c r="P383" s="155">
        <f t="shared" si="1106"/>
        <v>20</v>
      </c>
      <c r="Q383" s="155">
        <f t="shared" si="1144"/>
        <v>-20</v>
      </c>
      <c r="R383" s="153"/>
      <c r="S383" s="154">
        <f t="shared" si="1149"/>
        <v>0</v>
      </c>
      <c r="T383" s="153"/>
      <c r="U383" s="154">
        <f t="shared" si="1150"/>
        <v>0</v>
      </c>
      <c r="V383" s="155">
        <f t="shared" si="1151"/>
        <v>0</v>
      </c>
      <c r="W383" s="156">
        <f t="shared" si="1152"/>
        <v>0</v>
      </c>
    </row>
    <row r="384" spans="1:23" ht="10.5" hidden="1" customHeight="1" x14ac:dyDescent="0.2">
      <c r="A384" s="11"/>
      <c r="B384" s="150">
        <f>COUNTA(Spieltag!K371:AA371)</f>
        <v>0</v>
      </c>
      <c r="C384" s="166">
        <f>Spieltag!A371</f>
        <v>40</v>
      </c>
      <c r="D384" s="21" t="str">
        <f>Spieltag!B371</f>
        <v>Umut Tohumcu</v>
      </c>
      <c r="E384" s="151" t="str">
        <f>Spieltag!C371</f>
        <v>Mittelfeld</v>
      </c>
      <c r="F384" s="152" t="s">
        <v>77</v>
      </c>
      <c r="G384" s="153"/>
      <c r="H384" s="154">
        <f t="shared" si="1145"/>
        <v>0</v>
      </c>
      <c r="I384" s="153"/>
      <c r="J384" s="154">
        <f t="shared" si="1146"/>
        <v>0</v>
      </c>
      <c r="K384" s="153"/>
      <c r="L384" s="154">
        <f t="shared" si="1147"/>
        <v>0</v>
      </c>
      <c r="M384" s="153"/>
      <c r="N384" s="154">
        <f t="shared" si="1148"/>
        <v>0</v>
      </c>
      <c r="O384" s="155">
        <f t="shared" si="1105"/>
        <v>10</v>
      </c>
      <c r="P384" s="155">
        <f t="shared" si="1106"/>
        <v>20</v>
      </c>
      <c r="Q384" s="155">
        <f t="shared" si="1144"/>
        <v>-20</v>
      </c>
      <c r="R384" s="153"/>
      <c r="S384" s="154">
        <f t="shared" si="1149"/>
        <v>0</v>
      </c>
      <c r="T384" s="153"/>
      <c r="U384" s="154">
        <f t="shared" si="1150"/>
        <v>0</v>
      </c>
      <c r="V384" s="155">
        <f t="shared" ref="V384" si="1169">IF(AND(R384=2),10,IF(R384=3,30,IF(R384=4,50,IF(R384=5,70,0))))</f>
        <v>0</v>
      </c>
      <c r="W384" s="156">
        <f t="shared" ref="W384" si="1170">IF(G384="x",H384+J384+L384+N384+O384+P384+Q384+S384+U384+V384,0)</f>
        <v>0</v>
      </c>
    </row>
    <row r="385" spans="1:23" ht="10.5" hidden="1" customHeight="1" x14ac:dyDescent="0.2">
      <c r="A385" s="11"/>
      <c r="B385" s="150">
        <f>COUNTA(Spieltag!K372:AA372)</f>
        <v>0</v>
      </c>
      <c r="C385" s="166">
        <f>Spieltag!A372</f>
        <v>7</v>
      </c>
      <c r="D385" s="21" t="str">
        <f>Spieltag!B372</f>
        <v>Mërgim Berisha</v>
      </c>
      <c r="E385" s="151" t="str">
        <f>Spieltag!C372</f>
        <v>Sturm</v>
      </c>
      <c r="F385" s="152" t="s">
        <v>77</v>
      </c>
      <c r="G385" s="153"/>
      <c r="H385" s="154">
        <f>IF(G385="x",10,0)</f>
        <v>0</v>
      </c>
      <c r="I385" s="153"/>
      <c r="J385" s="154">
        <f>IF((I385="x"),-10,0)</f>
        <v>0</v>
      </c>
      <c r="K385" s="153"/>
      <c r="L385" s="154">
        <f>IF((K385="x"),-20,0)</f>
        <v>0</v>
      </c>
      <c r="M385" s="153"/>
      <c r="N385" s="154">
        <f>IF((M385="x"),-30,0)</f>
        <v>0</v>
      </c>
      <c r="O385" s="155">
        <f t="shared" si="1105"/>
        <v>10</v>
      </c>
      <c r="P385" s="155">
        <f t="shared" si="1106"/>
        <v>20</v>
      </c>
      <c r="Q385" s="155">
        <f t="shared" ref="Q385:Q391" si="1171">IF(($W$3&lt;&gt;0),$W$3*-10,5)</f>
        <v>-20</v>
      </c>
      <c r="R385" s="153"/>
      <c r="S385" s="154">
        <f>R385*10</f>
        <v>0</v>
      </c>
      <c r="T385" s="153"/>
      <c r="U385" s="154">
        <f>T385*-15</f>
        <v>0</v>
      </c>
      <c r="V385" s="155">
        <f>IF(AND(R385=2),10,IF(R385=3,30,IF(R385=4,50,IF(R385=5,70,0))))</f>
        <v>0</v>
      </c>
      <c r="W385" s="156">
        <f>IF(G385="x",H385+J385+L385+N385+O385+P385+Q385+S385+U385+V385,0)</f>
        <v>0</v>
      </c>
    </row>
    <row r="386" spans="1:23" ht="10.5" hidden="1" customHeight="1" x14ac:dyDescent="0.2">
      <c r="A386" s="11"/>
      <c r="B386" s="150">
        <f>COUNTA(Spieltag!K373:AA373)</f>
        <v>0</v>
      </c>
      <c r="C386" s="166">
        <f>Spieltag!A373</f>
        <v>9</v>
      </c>
      <c r="D386" s="21" t="str">
        <f>Spieltag!B373</f>
        <v>Ihlas Bebou (A)</v>
      </c>
      <c r="E386" s="151" t="str">
        <f>Spieltag!C373</f>
        <v>Sturm</v>
      </c>
      <c r="F386" s="152" t="s">
        <v>77</v>
      </c>
      <c r="G386" s="153"/>
      <c r="H386" s="154">
        <f>IF(G386="x",10,0)</f>
        <v>0</v>
      </c>
      <c r="I386" s="153"/>
      <c r="J386" s="154">
        <f>IF((I386="x"),-10,0)</f>
        <v>0</v>
      </c>
      <c r="K386" s="153"/>
      <c r="L386" s="154">
        <f>IF((K386="x"),-20,0)</f>
        <v>0</v>
      </c>
      <c r="M386" s="153"/>
      <c r="N386" s="154">
        <f>IF((M386="x"),-30,0)</f>
        <v>0</v>
      </c>
      <c r="O386" s="155">
        <f t="shared" si="1105"/>
        <v>10</v>
      </c>
      <c r="P386" s="155">
        <f t="shared" si="1106"/>
        <v>20</v>
      </c>
      <c r="Q386" s="155">
        <f t="shared" si="1171"/>
        <v>-20</v>
      </c>
      <c r="R386" s="153"/>
      <c r="S386" s="154">
        <f>R386*10</f>
        <v>0</v>
      </c>
      <c r="T386" s="153"/>
      <c r="U386" s="154">
        <f>T386*-15</f>
        <v>0</v>
      </c>
      <c r="V386" s="155">
        <f>IF(AND(R386=2),10,IF(R386=3,30,IF(R386=4,50,IF(R386=5,70,0))))</f>
        <v>0</v>
      </c>
      <c r="W386" s="156">
        <f>IF(G386="x",H386+J386+L386+N386+O386+P386+Q386+S386+U386+V386,0)</f>
        <v>0</v>
      </c>
    </row>
    <row r="387" spans="1:23" ht="10.5" hidden="1" customHeight="1" x14ac:dyDescent="0.2">
      <c r="A387" s="11"/>
      <c r="B387" s="150">
        <f>COUNTA(Spieltag!K374:AA374)</f>
        <v>0</v>
      </c>
      <c r="C387" s="166">
        <f>Spieltag!A374</f>
        <v>10</v>
      </c>
      <c r="D387" s="21" t="str">
        <f>Spieltag!B374</f>
        <v>Wout Weghorst (A)</v>
      </c>
      <c r="E387" s="151" t="str">
        <f>Spieltag!C374</f>
        <v>Sturm</v>
      </c>
      <c r="F387" s="152" t="s">
        <v>77</v>
      </c>
      <c r="G387" s="153"/>
      <c r="H387" s="154">
        <f t="shared" ref="H387:H391" si="1172">IF(G387="x",10,0)</f>
        <v>0</v>
      </c>
      <c r="I387" s="153"/>
      <c r="J387" s="154">
        <f t="shared" ref="J387:J391" si="1173">IF((I387="x"),-10,0)</f>
        <v>0</v>
      </c>
      <c r="K387" s="153"/>
      <c r="L387" s="154">
        <f t="shared" ref="L387:L391" si="1174">IF((K387="x"),-20,0)</f>
        <v>0</v>
      </c>
      <c r="M387" s="153"/>
      <c r="N387" s="154">
        <f t="shared" ref="N387:N391" si="1175">IF((M387="x"),-30,0)</f>
        <v>0</v>
      </c>
      <c r="O387" s="155">
        <f t="shared" si="1105"/>
        <v>10</v>
      </c>
      <c r="P387" s="155">
        <f t="shared" si="1106"/>
        <v>20</v>
      </c>
      <c r="Q387" s="155">
        <f t="shared" si="1171"/>
        <v>-20</v>
      </c>
      <c r="R387" s="153"/>
      <c r="S387" s="154">
        <f t="shared" ref="S387:S391" si="1176">R387*10</f>
        <v>0</v>
      </c>
      <c r="T387" s="153"/>
      <c r="U387" s="154">
        <f t="shared" ref="U387:U391" si="1177">T387*-15</f>
        <v>0</v>
      </c>
      <c r="V387" s="155">
        <f t="shared" ref="V387:V391" si="1178">IF(AND(R387=2),10,IF(R387=3,30,IF(R387=4,50,IF(R387=5,70,0))))</f>
        <v>0</v>
      </c>
      <c r="W387" s="156">
        <f t="shared" ref="W387:W391" si="1179">IF(G387="x",H387+J387+L387+N387+O387+P387+Q387+S387+U387+V387,0)</f>
        <v>0</v>
      </c>
    </row>
    <row r="388" spans="1:23" ht="10.5" hidden="1" customHeight="1" x14ac:dyDescent="0.2">
      <c r="A388" s="11"/>
      <c r="B388" s="150">
        <f>COUNTA(Spieltag!K375:AA375)</f>
        <v>0</v>
      </c>
      <c r="C388" s="166">
        <f>Spieltag!A375</f>
        <v>14</v>
      </c>
      <c r="D388" s="21" t="str">
        <f>Spieltag!B375</f>
        <v>Maximilian Beier</v>
      </c>
      <c r="E388" s="151" t="str">
        <f>Spieltag!C375</f>
        <v>Sturm</v>
      </c>
      <c r="F388" s="152" t="s">
        <v>77</v>
      </c>
      <c r="G388" s="153"/>
      <c r="H388" s="154">
        <f t="shared" si="1172"/>
        <v>0</v>
      </c>
      <c r="I388" s="153"/>
      <c r="J388" s="154">
        <f t="shared" si="1173"/>
        <v>0</v>
      </c>
      <c r="K388" s="153"/>
      <c r="L388" s="154">
        <f t="shared" si="1174"/>
        <v>0</v>
      </c>
      <c r="M388" s="153"/>
      <c r="N388" s="154">
        <f t="shared" si="1175"/>
        <v>0</v>
      </c>
      <c r="O388" s="155">
        <f t="shared" si="1105"/>
        <v>10</v>
      </c>
      <c r="P388" s="155">
        <f t="shared" si="1106"/>
        <v>20</v>
      </c>
      <c r="Q388" s="155">
        <f t="shared" si="1171"/>
        <v>-20</v>
      </c>
      <c r="R388" s="153"/>
      <c r="S388" s="154">
        <f t="shared" si="1176"/>
        <v>0</v>
      </c>
      <c r="T388" s="153"/>
      <c r="U388" s="154">
        <f t="shared" si="1177"/>
        <v>0</v>
      </c>
      <c r="V388" s="155">
        <f t="shared" si="1178"/>
        <v>0</v>
      </c>
      <c r="W388" s="156">
        <f t="shared" si="1179"/>
        <v>0</v>
      </c>
    </row>
    <row r="389" spans="1:23" ht="10.5" hidden="1" customHeight="1" x14ac:dyDescent="0.2">
      <c r="A389" s="11"/>
      <c r="B389" s="150">
        <f>COUNTA(Spieltag!K376:AA376)</f>
        <v>0</v>
      </c>
      <c r="C389" s="166">
        <f>Spieltag!A376</f>
        <v>21</v>
      </c>
      <c r="D389" s="21" t="str">
        <f>Spieltag!B376</f>
        <v>Marius Bülter</v>
      </c>
      <c r="E389" s="151" t="str">
        <f>Spieltag!C376</f>
        <v>Sturm</v>
      </c>
      <c r="F389" s="152" t="s">
        <v>77</v>
      </c>
      <c r="G389" s="153"/>
      <c r="H389" s="154">
        <f t="shared" ref="H389" si="1180">IF(G389="x",10,0)</f>
        <v>0</v>
      </c>
      <c r="I389" s="153"/>
      <c r="J389" s="154">
        <f t="shared" ref="J389" si="1181">IF((I389="x"),-10,0)</f>
        <v>0</v>
      </c>
      <c r="K389" s="153"/>
      <c r="L389" s="154">
        <f t="shared" ref="L389" si="1182">IF((K389="x"),-20,0)</f>
        <v>0</v>
      </c>
      <c r="M389" s="153"/>
      <c r="N389" s="154">
        <f t="shared" ref="N389" si="1183">IF((M389="x"),-30,0)</f>
        <v>0</v>
      </c>
      <c r="O389" s="155">
        <f t="shared" si="1105"/>
        <v>10</v>
      </c>
      <c r="P389" s="155">
        <f t="shared" si="1106"/>
        <v>20</v>
      </c>
      <c r="Q389" s="155">
        <f t="shared" si="1171"/>
        <v>-20</v>
      </c>
      <c r="R389" s="153"/>
      <c r="S389" s="154">
        <f t="shared" ref="S389" si="1184">R389*10</f>
        <v>0</v>
      </c>
      <c r="T389" s="153"/>
      <c r="U389" s="154">
        <f t="shared" ref="U389" si="1185">T389*-15</f>
        <v>0</v>
      </c>
      <c r="V389" s="155">
        <f t="shared" ref="V389" si="1186">IF(AND(R389=2),10,IF(R389=3,30,IF(R389=4,50,IF(R389=5,70,0))))</f>
        <v>0</v>
      </c>
      <c r="W389" s="156">
        <f t="shared" ref="W389" si="1187">IF(G389="x",H389+J389+L389+N389+O389+P389+Q389+S389+U389+V389,0)</f>
        <v>0</v>
      </c>
    </row>
    <row r="390" spans="1:23" ht="10.5" hidden="1" customHeight="1" x14ac:dyDescent="0.2">
      <c r="A390" s="11"/>
      <c r="B390" s="150">
        <f>COUNTA(Spieltag!K377:AA377)</f>
        <v>0</v>
      </c>
      <c r="C390" s="166">
        <f>Spieltag!A377</f>
        <v>27</v>
      </c>
      <c r="D390" s="21" t="str">
        <f>Spieltag!B377</f>
        <v>Andrej Kramarić (A)</v>
      </c>
      <c r="E390" s="151" t="str">
        <f>Spieltag!C377</f>
        <v>Sturm</v>
      </c>
      <c r="F390" s="152" t="s">
        <v>77</v>
      </c>
      <c r="G390" s="153"/>
      <c r="H390" s="154">
        <f t="shared" si="1172"/>
        <v>0</v>
      </c>
      <c r="I390" s="153"/>
      <c r="J390" s="154">
        <f t="shared" si="1173"/>
        <v>0</v>
      </c>
      <c r="K390" s="153"/>
      <c r="L390" s="154">
        <f t="shared" si="1174"/>
        <v>0</v>
      </c>
      <c r="M390" s="153"/>
      <c r="N390" s="154">
        <f t="shared" si="1175"/>
        <v>0</v>
      </c>
      <c r="O390" s="155">
        <f t="shared" si="1105"/>
        <v>10</v>
      </c>
      <c r="P390" s="155">
        <f t="shared" si="1106"/>
        <v>20</v>
      </c>
      <c r="Q390" s="155">
        <f t="shared" si="1171"/>
        <v>-20</v>
      </c>
      <c r="R390" s="153"/>
      <c r="S390" s="154">
        <f t="shared" si="1176"/>
        <v>0</v>
      </c>
      <c r="T390" s="153"/>
      <c r="U390" s="154">
        <f t="shared" si="1177"/>
        <v>0</v>
      </c>
      <c r="V390" s="155">
        <f t="shared" si="1178"/>
        <v>0</v>
      </c>
      <c r="W390" s="156">
        <f t="shared" si="1179"/>
        <v>0</v>
      </c>
    </row>
    <row r="391" spans="1:23" ht="10.5" hidden="1" customHeight="1" x14ac:dyDescent="0.2">
      <c r="A391" s="11"/>
      <c r="B391" s="150">
        <f>COUNTA(Spieltag!K378:AA378)</f>
        <v>0</v>
      </c>
      <c r="C391" s="166">
        <f>Spieltag!A378</f>
        <v>29</v>
      </c>
      <c r="D391" s="21" t="str">
        <f>Spieltag!B378</f>
        <v>Robert Skov (A)</v>
      </c>
      <c r="E391" s="151" t="str">
        <f>Spieltag!C378</f>
        <v>Sturm</v>
      </c>
      <c r="F391" s="152" t="s">
        <v>77</v>
      </c>
      <c r="G391" s="153"/>
      <c r="H391" s="154">
        <f t="shared" si="1172"/>
        <v>0</v>
      </c>
      <c r="I391" s="153"/>
      <c r="J391" s="154">
        <f t="shared" si="1173"/>
        <v>0</v>
      </c>
      <c r="K391" s="153"/>
      <c r="L391" s="154">
        <f t="shared" si="1174"/>
        <v>0</v>
      </c>
      <c r="M391" s="153"/>
      <c r="N391" s="154">
        <f t="shared" si="1175"/>
        <v>0</v>
      </c>
      <c r="O391" s="155">
        <f t="shared" si="1105"/>
        <v>10</v>
      </c>
      <c r="P391" s="155">
        <f t="shared" si="1106"/>
        <v>20</v>
      </c>
      <c r="Q391" s="155">
        <f t="shared" si="1171"/>
        <v>-20</v>
      </c>
      <c r="R391" s="153"/>
      <c r="S391" s="154">
        <f t="shared" si="1176"/>
        <v>0</v>
      </c>
      <c r="T391" s="153"/>
      <c r="U391" s="154">
        <f t="shared" si="1177"/>
        <v>0</v>
      </c>
      <c r="V391" s="155">
        <f t="shared" si="1178"/>
        <v>0</v>
      </c>
      <c r="W391" s="156">
        <f t="shared" si="1179"/>
        <v>0</v>
      </c>
    </row>
    <row r="392" spans="1:23" s="144" customFormat="1" ht="17.25" hidden="1" thickBot="1" x14ac:dyDescent="0.25">
      <c r="A392" s="142"/>
      <c r="B392" s="143">
        <f>SUM(B393:B418)</f>
        <v>0</v>
      </c>
      <c r="C392" s="158"/>
      <c r="D392" s="234" t="s">
        <v>323</v>
      </c>
      <c r="E392" s="234"/>
      <c r="F392" s="234"/>
      <c r="G392" s="234"/>
      <c r="H392" s="234"/>
      <c r="I392" s="234"/>
      <c r="J392" s="234"/>
      <c r="K392" s="234"/>
      <c r="L392" s="234"/>
      <c r="M392" s="234"/>
      <c r="N392" s="234"/>
      <c r="O392" s="234"/>
      <c r="P392" s="234"/>
      <c r="Q392" s="234"/>
      <c r="R392" s="234"/>
      <c r="S392" s="234"/>
      <c r="T392" s="234"/>
      <c r="U392" s="234"/>
      <c r="V392" s="234"/>
      <c r="W392" s="235"/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1</v>
      </c>
      <c r="D393" s="21" t="str">
        <f>Spieltag!B380</f>
        <v>Jiri Pavlenka (A)</v>
      </c>
      <c r="E393" s="12" t="str">
        <f>Spieltag!C380</f>
        <v>Torwart</v>
      </c>
      <c r="F393" s="13" t="s">
        <v>322</v>
      </c>
      <c r="G393" s="14"/>
      <c r="H393" s="15">
        <f>IF(G393="x",10,0)</f>
        <v>0</v>
      </c>
      <c r="I393" s="14"/>
      <c r="J393" s="15">
        <f>IF((I393="x"),-10,0)</f>
        <v>0</v>
      </c>
      <c r="K393" s="14"/>
      <c r="L393" s="15">
        <f>IF((K393="x"),-20,0)</f>
        <v>0</v>
      </c>
      <c r="M393" s="14"/>
      <c r="N393" s="15">
        <f>IF((M393="x"),-30,0)</f>
        <v>0</v>
      </c>
      <c r="O393" s="16">
        <f>IF(AND($P$4&gt;$Q$4),20,IF($P$4=$Q$4,10,0))</f>
        <v>20</v>
      </c>
      <c r="P393" s="16">
        <f>IF(($P$4&lt;&gt;0),$P$4*10,-5)</f>
        <v>10</v>
      </c>
      <c r="Q393" s="16">
        <f>IF(($Q$4&lt;&gt;0),$Q$4*-10,20)</f>
        <v>20</v>
      </c>
      <c r="R393" s="14"/>
      <c r="S393" s="15">
        <f>R393*20</f>
        <v>0</v>
      </c>
      <c r="T393" s="14"/>
      <c r="U393" s="15">
        <f>T393*-15</f>
        <v>0</v>
      </c>
      <c r="V393" s="16">
        <f>IF(AND(R393=2),10,IF(R393=3,30,IF(R393=4,50,IF(R393=5,70,0))))</f>
        <v>0</v>
      </c>
      <c r="W393" s="17">
        <f>IF(G393="x",H393+J393+L393+N393+O393+P393+Q393+S393+U393+V393,0)</f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30</v>
      </c>
      <c r="D394" s="21" t="str">
        <f>Spieltag!B381</f>
        <v>Michael Zetterer</v>
      </c>
      <c r="E394" s="12" t="str">
        <f>Spieltag!C381</f>
        <v>Torwart</v>
      </c>
      <c r="F394" s="13" t="s">
        <v>322</v>
      </c>
      <c r="G394" s="14"/>
      <c r="H394" s="15">
        <f t="shared" ref="H394:H397" si="1188">IF(G394="x",10,0)</f>
        <v>0</v>
      </c>
      <c r="I394" s="14"/>
      <c r="J394" s="15">
        <f t="shared" ref="J394:J397" si="1189">IF((I394="x"),-10,0)</f>
        <v>0</v>
      </c>
      <c r="K394" s="14"/>
      <c r="L394" s="15">
        <f t="shared" ref="L394:L397" si="1190">IF((K394="x"),-20,0)</f>
        <v>0</v>
      </c>
      <c r="M394" s="14"/>
      <c r="N394" s="15">
        <f t="shared" ref="N394:N397" si="1191">IF((M394="x"),-30,0)</f>
        <v>0</v>
      </c>
      <c r="O394" s="16">
        <f t="shared" ref="O394:O396" si="1192">IF(AND($P$4&gt;$Q$4),20,IF($P$4=$Q$4,10,0))</f>
        <v>20</v>
      </c>
      <c r="P394" s="16">
        <f t="shared" ref="P394:P396" si="1193">IF(($P$4&lt;&gt;0),$P$4*10,-5)</f>
        <v>10</v>
      </c>
      <c r="Q394" s="16">
        <f t="shared" ref="Q394:Q396" si="1194">IF(($Q$4&lt;&gt;0),$Q$4*-10,20)</f>
        <v>20</v>
      </c>
      <c r="R394" s="14"/>
      <c r="S394" s="15">
        <f t="shared" ref="S394:S396" si="1195">R394*20</f>
        <v>0</v>
      </c>
      <c r="T394" s="14"/>
      <c r="U394" s="15">
        <f t="shared" ref="U394:U397" si="1196">T394*-15</f>
        <v>0</v>
      </c>
      <c r="V394" s="16">
        <f t="shared" ref="V394:V397" si="1197">IF(AND(R394=2),10,IF(R394=3,30,IF(R394=4,50,IF(R394=5,70,0))))</f>
        <v>0</v>
      </c>
      <c r="W394" s="17">
        <f t="shared" ref="W394:W397" si="1198">IF(G394="x",H394+J394+L394+N394+O394+P394+Q394+S394+U394+V394,0)</f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37</v>
      </c>
      <c r="D395" s="21" t="str">
        <f>Spieltag!B382</f>
        <v>Spyros Angelidis (A)</v>
      </c>
      <c r="E395" s="12" t="str">
        <f>Spieltag!C382</f>
        <v>Torwart</v>
      </c>
      <c r="F395" s="13" t="s">
        <v>322</v>
      </c>
      <c r="G395" s="14"/>
      <c r="H395" s="15">
        <f t="shared" ref="H395" si="1199">IF(G395="x",10,0)</f>
        <v>0</v>
      </c>
      <c r="I395" s="14"/>
      <c r="J395" s="15">
        <f t="shared" ref="J395" si="1200">IF((I395="x"),-10,0)</f>
        <v>0</v>
      </c>
      <c r="K395" s="14"/>
      <c r="L395" s="15">
        <f t="shared" ref="L395" si="1201">IF((K395="x"),-20,0)</f>
        <v>0</v>
      </c>
      <c r="M395" s="14"/>
      <c r="N395" s="15">
        <f t="shared" ref="N395" si="1202">IF((M395="x"),-30,0)</f>
        <v>0</v>
      </c>
      <c r="O395" s="16">
        <f t="shared" si="1192"/>
        <v>20</v>
      </c>
      <c r="P395" s="16">
        <f t="shared" si="1193"/>
        <v>10</v>
      </c>
      <c r="Q395" s="16">
        <f t="shared" si="1194"/>
        <v>20</v>
      </c>
      <c r="R395" s="14"/>
      <c r="S395" s="15">
        <f t="shared" ref="S395" si="1203">R395*20</f>
        <v>0</v>
      </c>
      <c r="T395" s="14"/>
      <c r="U395" s="15">
        <f t="shared" ref="U395" si="1204">T395*-15</f>
        <v>0</v>
      </c>
      <c r="V395" s="16">
        <f t="shared" ref="V395" si="1205">IF(AND(R395=2),10,IF(R395=3,30,IF(R395=4,50,IF(R395=5,70,0))))</f>
        <v>0</v>
      </c>
      <c r="W395" s="17">
        <f t="shared" ref="W395" si="1206">IF(G395="x",H395+J395+L395+N395+O395+P395+Q395+S395+U395+V395,0)</f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38</v>
      </c>
      <c r="D396" s="21" t="str">
        <f>Spieltag!B383</f>
        <v>Eduardo dos Santos Haesler</v>
      </c>
      <c r="E396" s="12" t="str">
        <f>Spieltag!C383</f>
        <v>Torwart</v>
      </c>
      <c r="F396" s="13" t="s">
        <v>322</v>
      </c>
      <c r="G396" s="14"/>
      <c r="H396" s="15">
        <f t="shared" si="1188"/>
        <v>0</v>
      </c>
      <c r="I396" s="14"/>
      <c r="J396" s="15">
        <f t="shared" si="1189"/>
        <v>0</v>
      </c>
      <c r="K396" s="14"/>
      <c r="L396" s="15">
        <f t="shared" si="1190"/>
        <v>0</v>
      </c>
      <c r="M396" s="14"/>
      <c r="N396" s="15">
        <f t="shared" si="1191"/>
        <v>0</v>
      </c>
      <c r="O396" s="16">
        <f t="shared" si="1192"/>
        <v>20</v>
      </c>
      <c r="P396" s="16">
        <f t="shared" si="1193"/>
        <v>10</v>
      </c>
      <c r="Q396" s="16">
        <f t="shared" si="1194"/>
        <v>20</v>
      </c>
      <c r="R396" s="14"/>
      <c r="S396" s="15">
        <f t="shared" si="1195"/>
        <v>0</v>
      </c>
      <c r="T396" s="14"/>
      <c r="U396" s="15">
        <f t="shared" si="1196"/>
        <v>0</v>
      </c>
      <c r="V396" s="16">
        <f t="shared" si="1197"/>
        <v>0</v>
      </c>
      <c r="W396" s="17">
        <f t="shared" si="1198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2</v>
      </c>
      <c r="D397" s="21" t="str">
        <f>Spieltag!B384</f>
        <v>Olivier Deman (A)</v>
      </c>
      <c r="E397" s="12" t="str">
        <f>Spieltag!C384</f>
        <v>Abwehr</v>
      </c>
      <c r="F397" s="13" t="s">
        <v>322</v>
      </c>
      <c r="G397" s="14"/>
      <c r="H397" s="15">
        <f t="shared" si="1188"/>
        <v>0</v>
      </c>
      <c r="I397" s="14"/>
      <c r="J397" s="15">
        <f t="shared" si="1189"/>
        <v>0</v>
      </c>
      <c r="K397" s="14"/>
      <c r="L397" s="15">
        <f t="shared" si="1190"/>
        <v>0</v>
      </c>
      <c r="M397" s="14"/>
      <c r="N397" s="15">
        <f t="shared" si="1191"/>
        <v>0</v>
      </c>
      <c r="O397" s="16">
        <f t="shared" ref="O397:O407" si="1207">IF(AND($P$4&gt;$Q$4),20,IF($P$4=$Q$4,10,0))</f>
        <v>20</v>
      </c>
      <c r="P397" s="16">
        <f t="shared" ref="P397:P407" si="1208">IF(($P$4&lt;&gt;0),$P$4*10,-5)</f>
        <v>10</v>
      </c>
      <c r="Q397" s="16">
        <f t="shared" ref="Q397:Q407" si="1209">IF(($Q$4&lt;&gt;0),$Q$4*-10,15)</f>
        <v>15</v>
      </c>
      <c r="R397" s="14"/>
      <c r="S397" s="15">
        <f t="shared" ref="S397" si="1210">R397*15</f>
        <v>0</v>
      </c>
      <c r="T397" s="14"/>
      <c r="U397" s="15">
        <f t="shared" si="1196"/>
        <v>0</v>
      </c>
      <c r="V397" s="16">
        <f t="shared" si="1197"/>
        <v>0</v>
      </c>
      <c r="W397" s="17">
        <f t="shared" si="1198"/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3</v>
      </c>
      <c r="D398" s="21" t="str">
        <f>Spieltag!B385</f>
        <v>Anthony Jung</v>
      </c>
      <c r="E398" s="12" t="str">
        <f>Spieltag!C385</f>
        <v>Abwehr</v>
      </c>
      <c r="F398" s="13" t="s">
        <v>322</v>
      </c>
      <c r="G398" s="14"/>
      <c r="H398" s="15">
        <f t="shared" ref="H398" si="1211">IF(G398="x",10,0)</f>
        <v>0</v>
      </c>
      <c r="I398" s="14"/>
      <c r="J398" s="15">
        <f t="shared" ref="J398" si="1212">IF((I398="x"),-10,0)</f>
        <v>0</v>
      </c>
      <c r="K398" s="14"/>
      <c r="L398" s="15">
        <f t="shared" ref="L398" si="1213">IF((K398="x"),-20,0)</f>
        <v>0</v>
      </c>
      <c r="M398" s="14"/>
      <c r="N398" s="15">
        <f t="shared" ref="N398" si="1214">IF((M398="x"),-30,0)</f>
        <v>0</v>
      </c>
      <c r="O398" s="16">
        <f t="shared" si="1207"/>
        <v>20</v>
      </c>
      <c r="P398" s="16">
        <f t="shared" si="1208"/>
        <v>10</v>
      </c>
      <c r="Q398" s="16">
        <f t="shared" si="1209"/>
        <v>15</v>
      </c>
      <c r="R398" s="14"/>
      <c r="S398" s="15">
        <f t="shared" ref="S398" si="1215">R398*15</f>
        <v>0</v>
      </c>
      <c r="T398" s="14"/>
      <c r="U398" s="15">
        <f t="shared" ref="U398" si="1216">T398*-15</f>
        <v>0</v>
      </c>
      <c r="V398" s="16">
        <f t="shared" ref="V398" si="1217">IF(AND(R398=2),10,IF(R398=3,30,IF(R398=4,50,IF(R398=5,70,0))))</f>
        <v>0</v>
      </c>
      <c r="W398" s="17">
        <f t="shared" ref="W398" si="1218">IF(G398="x",H398+J398+L398+N398+O398+P398+Q398+S398+U398+V398,0)</f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4</v>
      </c>
      <c r="D399" s="21" t="str">
        <f>Spieltag!B386</f>
        <v>Niklas Stark</v>
      </c>
      <c r="E399" s="12" t="str">
        <f>Spieltag!C386</f>
        <v>Abwehr</v>
      </c>
      <c r="F399" s="13" t="s">
        <v>322</v>
      </c>
      <c r="G399" s="14"/>
      <c r="H399" s="15">
        <f t="shared" ref="H399:H407" si="1219">IF(G399="x",10,0)</f>
        <v>0</v>
      </c>
      <c r="I399" s="14"/>
      <c r="J399" s="15">
        <f t="shared" ref="J399:J407" si="1220">IF((I399="x"),-10,0)</f>
        <v>0</v>
      </c>
      <c r="K399" s="14"/>
      <c r="L399" s="15">
        <f t="shared" ref="L399:L407" si="1221">IF((K399="x"),-20,0)</f>
        <v>0</v>
      </c>
      <c r="M399" s="14"/>
      <c r="N399" s="15">
        <f t="shared" ref="N399:N407" si="1222">IF((M399="x"),-30,0)</f>
        <v>0</v>
      </c>
      <c r="O399" s="16">
        <f t="shared" si="1207"/>
        <v>20</v>
      </c>
      <c r="P399" s="16">
        <f t="shared" si="1208"/>
        <v>10</v>
      </c>
      <c r="Q399" s="16">
        <f t="shared" si="1209"/>
        <v>15</v>
      </c>
      <c r="R399" s="14"/>
      <c r="S399" s="15">
        <f t="shared" ref="S399:S407" si="1223">R399*15</f>
        <v>0</v>
      </c>
      <c r="T399" s="14"/>
      <c r="U399" s="15">
        <f t="shared" ref="U399:U407" si="1224">T399*-15</f>
        <v>0</v>
      </c>
      <c r="V399" s="16">
        <f t="shared" ref="V399:V407" si="1225">IF(AND(R399=2),10,IF(R399=3,30,IF(R399=4,50,IF(R399=5,70,0))))</f>
        <v>0</v>
      </c>
      <c r="W399" s="17">
        <f t="shared" ref="W399:W407" si="1226">IF(G399="x",H399+J399+L399+N399+O399+P399+Q399+S399+U399+V399,0)</f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5</v>
      </c>
      <c r="D400" s="21" t="str">
        <f>Spieltag!B387</f>
        <v>Amos Pieper</v>
      </c>
      <c r="E400" s="12" t="str">
        <f>Spieltag!C387</f>
        <v>Abwehr</v>
      </c>
      <c r="F400" s="13" t="s">
        <v>322</v>
      </c>
      <c r="G400" s="14"/>
      <c r="H400" s="15">
        <f t="shared" si="1219"/>
        <v>0</v>
      </c>
      <c r="I400" s="14"/>
      <c r="J400" s="15">
        <f t="shared" si="1220"/>
        <v>0</v>
      </c>
      <c r="K400" s="14"/>
      <c r="L400" s="15">
        <f t="shared" si="1221"/>
        <v>0</v>
      </c>
      <c r="M400" s="14"/>
      <c r="N400" s="15">
        <f t="shared" si="1222"/>
        <v>0</v>
      </c>
      <c r="O400" s="16">
        <f t="shared" si="1207"/>
        <v>20</v>
      </c>
      <c r="P400" s="16">
        <f t="shared" si="1208"/>
        <v>10</v>
      </c>
      <c r="Q400" s="16">
        <f t="shared" si="1209"/>
        <v>15</v>
      </c>
      <c r="R400" s="14"/>
      <c r="S400" s="15">
        <f t="shared" si="1223"/>
        <v>0</v>
      </c>
      <c r="T400" s="14"/>
      <c r="U400" s="15">
        <f t="shared" si="1224"/>
        <v>0</v>
      </c>
      <c r="V400" s="16">
        <f t="shared" si="1225"/>
        <v>0</v>
      </c>
      <c r="W400" s="17">
        <f t="shared" si="1226"/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8</v>
      </c>
      <c r="D401" s="21" t="str">
        <f>Spieltag!B388</f>
        <v>Mitchell Weiser</v>
      </c>
      <c r="E401" s="12" t="str">
        <f>Spieltag!C388</f>
        <v>Abwehr</v>
      </c>
      <c r="F401" s="13" t="s">
        <v>322</v>
      </c>
      <c r="G401" s="14"/>
      <c r="H401" s="15">
        <f t="shared" si="1219"/>
        <v>0</v>
      </c>
      <c r="I401" s="14"/>
      <c r="J401" s="15">
        <f t="shared" si="1220"/>
        <v>0</v>
      </c>
      <c r="K401" s="14"/>
      <c r="L401" s="15">
        <f t="shared" si="1221"/>
        <v>0</v>
      </c>
      <c r="M401" s="14"/>
      <c r="N401" s="15">
        <f t="shared" si="1222"/>
        <v>0</v>
      </c>
      <c r="O401" s="16">
        <f t="shared" si="1207"/>
        <v>20</v>
      </c>
      <c r="P401" s="16">
        <f t="shared" si="1208"/>
        <v>10</v>
      </c>
      <c r="Q401" s="16">
        <f t="shared" si="1209"/>
        <v>15</v>
      </c>
      <c r="R401" s="14"/>
      <c r="S401" s="15">
        <f t="shared" si="1223"/>
        <v>0</v>
      </c>
      <c r="T401" s="14"/>
      <c r="U401" s="15">
        <f t="shared" si="1224"/>
        <v>0</v>
      </c>
      <c r="V401" s="16">
        <f t="shared" si="1225"/>
        <v>0</v>
      </c>
      <c r="W401" s="17">
        <f t="shared" si="1226"/>
        <v>0</v>
      </c>
    </row>
    <row r="402" spans="1:23" ht="10.5" hidden="1" customHeight="1" x14ac:dyDescent="0.2">
      <c r="A402" s="11"/>
      <c r="B402" s="149">
        <f>COUNTA(Spieltag!K389:AA389)</f>
        <v>0</v>
      </c>
      <c r="C402" s="166">
        <f>Spieltag!A389</f>
        <v>13</v>
      </c>
      <c r="D402" s="21" t="str">
        <f>Spieltag!B389</f>
        <v>Miloš Veljković (A)</v>
      </c>
      <c r="E402" s="12" t="str">
        <f>Spieltag!C389</f>
        <v>Abwehr</v>
      </c>
      <c r="F402" s="13" t="s">
        <v>322</v>
      </c>
      <c r="G402" s="14"/>
      <c r="H402" s="15">
        <f t="shared" si="1219"/>
        <v>0</v>
      </c>
      <c r="I402" s="14"/>
      <c r="J402" s="15">
        <f t="shared" si="1220"/>
        <v>0</v>
      </c>
      <c r="K402" s="14"/>
      <c r="L402" s="15">
        <f t="shared" si="1221"/>
        <v>0</v>
      </c>
      <c r="M402" s="14"/>
      <c r="N402" s="15">
        <f t="shared" si="1222"/>
        <v>0</v>
      </c>
      <c r="O402" s="16">
        <f t="shared" si="1207"/>
        <v>20</v>
      </c>
      <c r="P402" s="16">
        <f t="shared" si="1208"/>
        <v>10</v>
      </c>
      <c r="Q402" s="16">
        <f t="shared" si="1209"/>
        <v>15</v>
      </c>
      <c r="R402" s="14"/>
      <c r="S402" s="15">
        <f t="shared" si="1223"/>
        <v>0</v>
      </c>
      <c r="T402" s="14"/>
      <c r="U402" s="15">
        <f t="shared" si="1224"/>
        <v>0</v>
      </c>
      <c r="V402" s="16">
        <f t="shared" si="1225"/>
        <v>0</v>
      </c>
      <c r="W402" s="17">
        <f t="shared" si="1226"/>
        <v>0</v>
      </c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22</v>
      </c>
      <c r="D403" s="21" t="str">
        <f>Spieltag!B390</f>
        <v>Julián Malatini (A)</v>
      </c>
      <c r="E403" s="12" t="str">
        <f>Spieltag!C390</f>
        <v>Abwehr</v>
      </c>
      <c r="F403" s="13" t="s">
        <v>322</v>
      </c>
      <c r="G403" s="14"/>
      <c r="H403" s="15">
        <f t="shared" ref="H403" si="1227">IF(G403="x",10,0)</f>
        <v>0</v>
      </c>
      <c r="I403" s="14"/>
      <c r="J403" s="15">
        <f t="shared" ref="J403" si="1228">IF((I403="x"),-10,0)</f>
        <v>0</v>
      </c>
      <c r="K403" s="14"/>
      <c r="L403" s="15">
        <f t="shared" ref="L403" si="1229">IF((K403="x"),-20,0)</f>
        <v>0</v>
      </c>
      <c r="M403" s="14"/>
      <c r="N403" s="15">
        <f t="shared" ref="N403" si="1230">IF((M403="x"),-30,0)</f>
        <v>0</v>
      </c>
      <c r="O403" s="16">
        <f t="shared" si="1207"/>
        <v>20</v>
      </c>
      <c r="P403" s="16">
        <f t="shared" si="1208"/>
        <v>10</v>
      </c>
      <c r="Q403" s="16">
        <f t="shared" si="1209"/>
        <v>15</v>
      </c>
      <c r="R403" s="14"/>
      <c r="S403" s="15">
        <f t="shared" ref="S403" si="1231">R403*15</f>
        <v>0</v>
      </c>
      <c r="T403" s="14"/>
      <c r="U403" s="15">
        <f t="shared" ref="U403" si="1232">T403*-15</f>
        <v>0</v>
      </c>
      <c r="V403" s="16">
        <f t="shared" ref="V403" si="1233">IF(AND(R403=2),10,IF(R403=3,30,IF(R403=4,50,IF(R403=5,70,0))))</f>
        <v>0</v>
      </c>
      <c r="W403" s="17">
        <f t="shared" ref="W403" si="1234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27</v>
      </c>
      <c r="D404" s="21" t="str">
        <f>Spieltag!B391</f>
        <v>Felix Agu</v>
      </c>
      <c r="E404" s="12" t="str">
        <f>Spieltag!C391</f>
        <v>Abwehr</v>
      </c>
      <c r="F404" s="13" t="s">
        <v>322</v>
      </c>
      <c r="G404" s="14"/>
      <c r="H404" s="15">
        <f t="shared" si="1219"/>
        <v>0</v>
      </c>
      <c r="I404" s="14"/>
      <c r="J404" s="15">
        <f t="shared" si="1220"/>
        <v>0</v>
      </c>
      <c r="K404" s="14"/>
      <c r="L404" s="15">
        <f t="shared" si="1221"/>
        <v>0</v>
      </c>
      <c r="M404" s="14"/>
      <c r="N404" s="15">
        <f t="shared" si="1222"/>
        <v>0</v>
      </c>
      <c r="O404" s="16">
        <f t="shared" si="1207"/>
        <v>20</v>
      </c>
      <c r="P404" s="16">
        <f t="shared" si="1208"/>
        <v>10</v>
      </c>
      <c r="Q404" s="16">
        <f t="shared" si="1209"/>
        <v>15</v>
      </c>
      <c r="R404" s="14"/>
      <c r="S404" s="15">
        <f t="shared" si="1223"/>
        <v>0</v>
      </c>
      <c r="T404" s="14"/>
      <c r="U404" s="15">
        <f t="shared" si="1224"/>
        <v>0</v>
      </c>
      <c r="V404" s="16">
        <f t="shared" si="1225"/>
        <v>0</v>
      </c>
      <c r="W404" s="17">
        <f t="shared" si="1226"/>
        <v>0</v>
      </c>
    </row>
    <row r="405" spans="1:23" ht="10.5" hidden="1" customHeight="1" x14ac:dyDescent="0.2">
      <c r="A405" s="11"/>
      <c r="B405" s="149">
        <f>COUNTA(Spieltag!K392:AA392)</f>
        <v>0</v>
      </c>
      <c r="C405" s="166">
        <f>Spieltag!A392</f>
        <v>32</v>
      </c>
      <c r="D405" s="21" t="str">
        <f>Spieltag!B392</f>
        <v>Marco Friedl (A)</v>
      </c>
      <c r="E405" s="12" t="str">
        <f>Spieltag!C392</f>
        <v>Abwehr</v>
      </c>
      <c r="F405" s="13" t="s">
        <v>322</v>
      </c>
      <c r="G405" s="14"/>
      <c r="H405" s="15">
        <f t="shared" si="1219"/>
        <v>0</v>
      </c>
      <c r="I405" s="14"/>
      <c r="J405" s="15">
        <f t="shared" si="1220"/>
        <v>0</v>
      </c>
      <c r="K405" s="14"/>
      <c r="L405" s="15">
        <f t="shared" si="1221"/>
        <v>0</v>
      </c>
      <c r="M405" s="14"/>
      <c r="N405" s="15">
        <f t="shared" si="1222"/>
        <v>0</v>
      </c>
      <c r="O405" s="16">
        <f t="shared" si="1207"/>
        <v>20</v>
      </c>
      <c r="P405" s="16">
        <f t="shared" si="1208"/>
        <v>10</v>
      </c>
      <c r="Q405" s="16">
        <f t="shared" si="1209"/>
        <v>15</v>
      </c>
      <c r="R405" s="14"/>
      <c r="S405" s="15">
        <f t="shared" si="1223"/>
        <v>0</v>
      </c>
      <c r="T405" s="14"/>
      <c r="U405" s="15">
        <f t="shared" si="1224"/>
        <v>0</v>
      </c>
      <c r="V405" s="16">
        <f t="shared" si="1225"/>
        <v>0</v>
      </c>
      <c r="W405" s="17">
        <f t="shared" si="1226"/>
        <v>0</v>
      </c>
    </row>
    <row r="406" spans="1:23" ht="10.5" hidden="1" customHeight="1" x14ac:dyDescent="0.2">
      <c r="A406" s="11"/>
      <c r="B406" s="149">
        <f>COUNTA(Spieltag!K393:AA393)</f>
        <v>0</v>
      </c>
      <c r="C406" s="166">
        <f>Spieltag!A393</f>
        <v>36</v>
      </c>
      <c r="D406" s="21" t="str">
        <f>Spieltag!B393</f>
        <v>Christian Gross</v>
      </c>
      <c r="E406" s="12" t="str">
        <f>Spieltag!C393</f>
        <v>Abwehr</v>
      </c>
      <c r="F406" s="13" t="s">
        <v>322</v>
      </c>
      <c r="G406" s="14"/>
      <c r="H406" s="15">
        <f t="shared" ref="H406" si="1235">IF(G406="x",10,0)</f>
        <v>0</v>
      </c>
      <c r="I406" s="14"/>
      <c r="J406" s="15">
        <f t="shared" ref="J406" si="1236">IF((I406="x"),-10,0)</f>
        <v>0</v>
      </c>
      <c r="K406" s="14"/>
      <c r="L406" s="15">
        <f t="shared" ref="L406" si="1237">IF((K406="x"),-20,0)</f>
        <v>0</v>
      </c>
      <c r="M406" s="14"/>
      <c r="N406" s="15">
        <f t="shared" ref="N406" si="1238">IF((M406="x"),-30,0)</f>
        <v>0</v>
      </c>
      <c r="O406" s="16">
        <f t="shared" si="1207"/>
        <v>20</v>
      </c>
      <c r="P406" s="16">
        <f t="shared" si="1208"/>
        <v>10</v>
      </c>
      <c r="Q406" s="16">
        <f t="shared" si="1209"/>
        <v>15</v>
      </c>
      <c r="R406" s="14"/>
      <c r="S406" s="15">
        <f t="shared" ref="S406" si="1239">R406*15</f>
        <v>0</v>
      </c>
      <c r="T406" s="14"/>
      <c r="U406" s="15">
        <f t="shared" ref="U406" si="1240">T406*-15</f>
        <v>0</v>
      </c>
      <c r="V406" s="16">
        <f t="shared" ref="V406" si="1241">IF(AND(R406=2),10,IF(R406=3,30,IF(R406=4,50,IF(R406=5,70,0))))</f>
        <v>0</v>
      </c>
      <c r="W406" s="17">
        <f t="shared" ref="W406" si="1242">IF(G406="x",H406+J406+L406+N406+O406+P406+Q406+S406+U406+V406,0)</f>
        <v>0</v>
      </c>
    </row>
    <row r="407" spans="1:23" ht="10.5" hidden="1" customHeight="1" x14ac:dyDescent="0.2">
      <c r="A407" s="11"/>
      <c r="B407" s="149">
        <f>COUNTA(Spieltag!K394:AA394)</f>
        <v>0</v>
      </c>
      <c r="C407" s="166">
        <f>Spieltag!A394</f>
        <v>40</v>
      </c>
      <c r="D407" s="21" t="str">
        <f>Spieltag!B394</f>
        <v>Cimo Röcker</v>
      </c>
      <c r="E407" s="12" t="str">
        <f>Spieltag!C394</f>
        <v>Abwehr</v>
      </c>
      <c r="F407" s="13" t="s">
        <v>322</v>
      </c>
      <c r="G407" s="14"/>
      <c r="H407" s="15">
        <f t="shared" si="1219"/>
        <v>0</v>
      </c>
      <c r="I407" s="14"/>
      <c r="J407" s="15">
        <f t="shared" si="1220"/>
        <v>0</v>
      </c>
      <c r="K407" s="14"/>
      <c r="L407" s="15">
        <f t="shared" si="1221"/>
        <v>0</v>
      </c>
      <c r="M407" s="14"/>
      <c r="N407" s="15">
        <f t="shared" si="1222"/>
        <v>0</v>
      </c>
      <c r="O407" s="16">
        <f t="shared" si="1207"/>
        <v>20</v>
      </c>
      <c r="P407" s="16">
        <f t="shared" si="1208"/>
        <v>10</v>
      </c>
      <c r="Q407" s="16">
        <f t="shared" si="1209"/>
        <v>15</v>
      </c>
      <c r="R407" s="14"/>
      <c r="S407" s="15">
        <f t="shared" si="1223"/>
        <v>0</v>
      </c>
      <c r="T407" s="14"/>
      <c r="U407" s="15">
        <f t="shared" si="1224"/>
        <v>0</v>
      </c>
      <c r="V407" s="16">
        <f t="shared" si="1225"/>
        <v>0</v>
      </c>
      <c r="W407" s="17">
        <f t="shared" si="1226"/>
        <v>0</v>
      </c>
    </row>
    <row r="408" spans="1:23" ht="10.5" hidden="1" customHeight="1" x14ac:dyDescent="0.2">
      <c r="A408" s="11"/>
      <c r="B408" s="149">
        <f>COUNTA(Spieltag!K395:AA395)</f>
        <v>0</v>
      </c>
      <c r="C408" s="166">
        <f>Spieltag!A395</f>
        <v>6</v>
      </c>
      <c r="D408" s="21" t="str">
        <f>Spieltag!B395</f>
        <v>Jens Stage (A)</v>
      </c>
      <c r="E408" s="12" t="str">
        <f>Spieltag!C395</f>
        <v>Mittelfeld</v>
      </c>
      <c r="F408" s="13" t="s">
        <v>322</v>
      </c>
      <c r="G408" s="14"/>
      <c r="H408" s="15">
        <f>IF(G408="x",10,0)</f>
        <v>0</v>
      </c>
      <c r="I408" s="14"/>
      <c r="J408" s="15">
        <f>IF((I408="x"),-10,0)</f>
        <v>0</v>
      </c>
      <c r="K408" s="14"/>
      <c r="L408" s="15">
        <f>IF((K408="x"),-20,0)</f>
        <v>0</v>
      </c>
      <c r="M408" s="14"/>
      <c r="N408" s="15">
        <f>IF((M408="x"),-30,0)</f>
        <v>0</v>
      </c>
      <c r="O408" s="16">
        <f t="shared" ref="O408:O418" si="1243">IF(AND($P$4&gt;$Q$4),20,IF($P$4=$Q$4,10,0))</f>
        <v>20</v>
      </c>
      <c r="P408" s="16">
        <f t="shared" ref="P408:P418" si="1244">IF(($P$4&lt;&gt;0),$P$4*10,-5)</f>
        <v>10</v>
      </c>
      <c r="Q408" s="16">
        <f t="shared" ref="Q408:Q413" si="1245">IF(($Q$4&lt;&gt;0),$Q$4*-10,10)</f>
        <v>10</v>
      </c>
      <c r="R408" s="14"/>
      <c r="S408" s="15">
        <f>R408*10</f>
        <v>0</v>
      </c>
      <c r="T408" s="14"/>
      <c r="U408" s="15">
        <f>T408*-15</f>
        <v>0</v>
      </c>
      <c r="V408" s="16">
        <f>IF(AND(R408=2),10,IF(R408=3,30,IF(R408=4,50,IF(R408=5,70,0))))</f>
        <v>0</v>
      </c>
      <c r="W408" s="17">
        <f>IF(G408="x",H408+J408+L408+N408+O408+P408+Q408+S408+U408+V408,0)</f>
        <v>0</v>
      </c>
    </row>
    <row r="409" spans="1:23" ht="10.5" hidden="1" customHeight="1" x14ac:dyDescent="0.2">
      <c r="A409" s="11"/>
      <c r="B409" s="149">
        <f>COUNTA(Spieltag!K396:AA396)</f>
        <v>0</v>
      </c>
      <c r="C409" s="166">
        <f>Spieltag!A396</f>
        <v>10</v>
      </c>
      <c r="D409" s="21" t="str">
        <f>Spieltag!B396</f>
        <v>Leonardo Bittencourt</v>
      </c>
      <c r="E409" s="12" t="str">
        <f>Spieltag!C396</f>
        <v>Mittelfeld</v>
      </c>
      <c r="F409" s="13" t="s">
        <v>322</v>
      </c>
      <c r="G409" s="14"/>
      <c r="H409" s="15">
        <f t="shared" ref="H409:H413" si="1246">IF(G409="x",10,0)</f>
        <v>0</v>
      </c>
      <c r="I409" s="14"/>
      <c r="J409" s="15">
        <f t="shared" ref="J409:J413" si="1247">IF((I409="x"),-10,0)</f>
        <v>0</v>
      </c>
      <c r="K409" s="14"/>
      <c r="L409" s="15">
        <f t="shared" ref="L409:L413" si="1248">IF((K409="x"),-20,0)</f>
        <v>0</v>
      </c>
      <c r="M409" s="14"/>
      <c r="N409" s="15">
        <f t="shared" ref="N409:N413" si="1249">IF((M409="x"),-30,0)</f>
        <v>0</v>
      </c>
      <c r="O409" s="16">
        <f t="shared" si="1243"/>
        <v>20</v>
      </c>
      <c r="P409" s="16">
        <f t="shared" si="1244"/>
        <v>10</v>
      </c>
      <c r="Q409" s="16">
        <f t="shared" si="1245"/>
        <v>10</v>
      </c>
      <c r="R409" s="14"/>
      <c r="S409" s="15">
        <f t="shared" ref="S409:S413" si="1250">R409*10</f>
        <v>0</v>
      </c>
      <c r="T409" s="14"/>
      <c r="U409" s="15">
        <f t="shared" ref="U409:U413" si="1251">T409*-15</f>
        <v>0</v>
      </c>
      <c r="V409" s="16">
        <f t="shared" ref="V409:V413" si="1252">IF(AND(R409=2),10,IF(R409=3,30,IF(R409=4,50,IF(R409=5,70,0))))</f>
        <v>0</v>
      </c>
      <c r="W409" s="17">
        <f t="shared" ref="W409:W413" si="1253">IF(G409="x",H409+J409+L409+N409+O409+P409+Q409+S409+U409+V409,0)</f>
        <v>0</v>
      </c>
    </row>
    <row r="410" spans="1:23" ht="10.5" hidden="1" customHeight="1" x14ac:dyDescent="0.2">
      <c r="A410" s="11"/>
      <c r="B410" s="149">
        <f>COUNTA(Spieltag!K397:AA397)</f>
        <v>0</v>
      </c>
      <c r="C410" s="166">
        <f>Spieltag!A397</f>
        <v>14</v>
      </c>
      <c r="D410" s="21" t="str">
        <f>Spieltag!B397</f>
        <v>Senne Lynen (A)</v>
      </c>
      <c r="E410" s="12" t="str">
        <f>Spieltag!C397</f>
        <v>Mittelfeld</v>
      </c>
      <c r="F410" s="13" t="s">
        <v>322</v>
      </c>
      <c r="G410" s="14"/>
      <c r="H410" s="15">
        <f t="shared" si="1246"/>
        <v>0</v>
      </c>
      <c r="I410" s="14"/>
      <c r="J410" s="15">
        <f t="shared" si="1247"/>
        <v>0</v>
      </c>
      <c r="K410" s="14"/>
      <c r="L410" s="15">
        <f t="shared" si="1248"/>
        <v>0</v>
      </c>
      <c r="M410" s="14"/>
      <c r="N410" s="15">
        <f t="shared" si="1249"/>
        <v>0</v>
      </c>
      <c r="O410" s="16">
        <f t="shared" si="1243"/>
        <v>20</v>
      </c>
      <c r="P410" s="16">
        <f t="shared" si="1244"/>
        <v>10</v>
      </c>
      <c r="Q410" s="16">
        <f t="shared" si="1245"/>
        <v>10</v>
      </c>
      <c r="R410" s="14"/>
      <c r="S410" s="15">
        <f t="shared" si="1250"/>
        <v>0</v>
      </c>
      <c r="T410" s="14"/>
      <c r="U410" s="15">
        <f t="shared" si="1251"/>
        <v>0</v>
      </c>
      <c r="V410" s="16">
        <f t="shared" si="1252"/>
        <v>0</v>
      </c>
      <c r="W410" s="17">
        <f t="shared" si="1253"/>
        <v>0</v>
      </c>
    </row>
    <row r="411" spans="1:23" ht="10.5" hidden="1" customHeight="1" x14ac:dyDescent="0.2">
      <c r="A411" s="11"/>
      <c r="B411" s="149">
        <f>COUNTA(Spieltag!K398:AA398)</f>
        <v>0</v>
      </c>
      <c r="C411" s="166">
        <f>Spieltag!A398</f>
        <v>18</v>
      </c>
      <c r="D411" s="21" t="str">
        <f>Spieltag!B398</f>
        <v>Naby Keita (A)</v>
      </c>
      <c r="E411" s="12" t="str">
        <f>Spieltag!C398</f>
        <v>Mittelfeld</v>
      </c>
      <c r="F411" s="13" t="s">
        <v>322</v>
      </c>
      <c r="G411" s="14"/>
      <c r="H411" s="15">
        <f t="shared" si="1246"/>
        <v>0</v>
      </c>
      <c r="I411" s="14"/>
      <c r="J411" s="15">
        <f t="shared" si="1247"/>
        <v>0</v>
      </c>
      <c r="K411" s="14"/>
      <c r="L411" s="15">
        <f t="shared" si="1248"/>
        <v>0</v>
      </c>
      <c r="M411" s="14"/>
      <c r="N411" s="15">
        <f t="shared" si="1249"/>
        <v>0</v>
      </c>
      <c r="O411" s="16">
        <f t="shared" si="1243"/>
        <v>20</v>
      </c>
      <c r="P411" s="16">
        <f t="shared" si="1244"/>
        <v>10</v>
      </c>
      <c r="Q411" s="16">
        <f t="shared" si="1245"/>
        <v>10</v>
      </c>
      <c r="R411" s="14"/>
      <c r="S411" s="15">
        <f t="shared" si="1250"/>
        <v>0</v>
      </c>
      <c r="T411" s="14"/>
      <c r="U411" s="15">
        <f t="shared" si="1251"/>
        <v>0</v>
      </c>
      <c r="V411" s="16">
        <f t="shared" si="1252"/>
        <v>0</v>
      </c>
      <c r="W411" s="17">
        <f t="shared" si="1253"/>
        <v>0</v>
      </c>
    </row>
    <row r="412" spans="1:23" ht="10.5" hidden="1" customHeight="1" x14ac:dyDescent="0.2">
      <c r="A412" s="11"/>
      <c r="B412" s="149">
        <f>COUNTA(Spieltag!K399:AA399)</f>
        <v>0</v>
      </c>
      <c r="C412" s="166">
        <f>Spieltag!A399</f>
        <v>20</v>
      </c>
      <c r="D412" s="21" t="str">
        <f>Spieltag!B399</f>
        <v>Romano Schmid (A)</v>
      </c>
      <c r="E412" s="12" t="str">
        <f>Spieltag!C399</f>
        <v>Mittelfeld</v>
      </c>
      <c r="F412" s="13" t="s">
        <v>322</v>
      </c>
      <c r="G412" s="14"/>
      <c r="H412" s="15">
        <f t="shared" si="1246"/>
        <v>0</v>
      </c>
      <c r="I412" s="14"/>
      <c r="J412" s="15">
        <f t="shared" si="1247"/>
        <v>0</v>
      </c>
      <c r="K412" s="14"/>
      <c r="L412" s="15">
        <f t="shared" si="1248"/>
        <v>0</v>
      </c>
      <c r="M412" s="14"/>
      <c r="N412" s="15">
        <f t="shared" si="1249"/>
        <v>0</v>
      </c>
      <c r="O412" s="16">
        <f t="shared" si="1243"/>
        <v>20</v>
      </c>
      <c r="P412" s="16">
        <f t="shared" si="1244"/>
        <v>10</v>
      </c>
      <c r="Q412" s="16">
        <f t="shared" si="1245"/>
        <v>10</v>
      </c>
      <c r="R412" s="14"/>
      <c r="S412" s="15">
        <f t="shared" si="1250"/>
        <v>0</v>
      </c>
      <c r="T412" s="14"/>
      <c r="U412" s="15">
        <f t="shared" si="1251"/>
        <v>0</v>
      </c>
      <c r="V412" s="16">
        <f t="shared" si="1252"/>
        <v>0</v>
      </c>
      <c r="W412" s="17">
        <f t="shared" si="1253"/>
        <v>0</v>
      </c>
    </row>
    <row r="413" spans="1:23" ht="10.5" hidden="1" customHeight="1" x14ac:dyDescent="0.2">
      <c r="A413" s="11"/>
      <c r="B413" s="149">
        <f>COUNTA(Spieltag!K400:AA400)</f>
        <v>0</v>
      </c>
      <c r="C413" s="166">
        <f>Spieltag!A400</f>
        <v>35</v>
      </c>
      <c r="D413" s="21" t="str">
        <f>Spieltag!B400</f>
        <v>Leon Opitz</v>
      </c>
      <c r="E413" s="12" t="str">
        <f>Spieltag!C400</f>
        <v>Mittelfeld</v>
      </c>
      <c r="F413" s="13" t="s">
        <v>322</v>
      </c>
      <c r="G413" s="14"/>
      <c r="H413" s="15">
        <f t="shared" si="1246"/>
        <v>0</v>
      </c>
      <c r="I413" s="14"/>
      <c r="J413" s="15">
        <f t="shared" si="1247"/>
        <v>0</v>
      </c>
      <c r="K413" s="14"/>
      <c r="L413" s="15">
        <f t="shared" si="1248"/>
        <v>0</v>
      </c>
      <c r="M413" s="14"/>
      <c r="N413" s="15">
        <f t="shared" si="1249"/>
        <v>0</v>
      </c>
      <c r="O413" s="16">
        <f t="shared" si="1243"/>
        <v>20</v>
      </c>
      <c r="P413" s="16">
        <f t="shared" si="1244"/>
        <v>10</v>
      </c>
      <c r="Q413" s="16">
        <f t="shared" si="1245"/>
        <v>10</v>
      </c>
      <c r="R413" s="14"/>
      <c r="S413" s="15">
        <f t="shared" si="1250"/>
        <v>0</v>
      </c>
      <c r="T413" s="14"/>
      <c r="U413" s="15">
        <f t="shared" si="1251"/>
        <v>0</v>
      </c>
      <c r="V413" s="16">
        <f t="shared" si="1252"/>
        <v>0</v>
      </c>
      <c r="W413" s="17">
        <f t="shared" si="1253"/>
        <v>0</v>
      </c>
    </row>
    <row r="414" spans="1:23" ht="10.5" hidden="1" customHeight="1" x14ac:dyDescent="0.2">
      <c r="A414" s="11"/>
      <c r="B414" s="149">
        <f>COUNTA(Spieltag!K401:AA401)</f>
        <v>0</v>
      </c>
      <c r="C414" s="166">
        <f>Spieltag!A401</f>
        <v>7</v>
      </c>
      <c r="D414" s="21" t="str">
        <f>Spieltag!B401</f>
        <v>Marvin Ducksch</v>
      </c>
      <c r="E414" s="12" t="str">
        <f>Spieltag!C401</f>
        <v>Sturm</v>
      </c>
      <c r="F414" s="13" t="s">
        <v>322</v>
      </c>
      <c r="G414" s="14"/>
      <c r="H414" s="15">
        <f t="shared" ref="H414" si="1254">IF(G414="x",10,0)</f>
        <v>0</v>
      </c>
      <c r="I414" s="14"/>
      <c r="J414" s="15">
        <f t="shared" ref="J414" si="1255">IF((I414="x"),-10,0)</f>
        <v>0</v>
      </c>
      <c r="K414" s="14"/>
      <c r="L414" s="15">
        <f t="shared" ref="L414" si="1256">IF((K414="x"),-20,0)</f>
        <v>0</v>
      </c>
      <c r="M414" s="14"/>
      <c r="N414" s="15">
        <f t="shared" ref="N414" si="1257">IF((M414="x"),-30,0)</f>
        <v>0</v>
      </c>
      <c r="O414" s="16">
        <f t="shared" si="1243"/>
        <v>20</v>
      </c>
      <c r="P414" s="16">
        <f t="shared" si="1244"/>
        <v>10</v>
      </c>
      <c r="Q414" s="16">
        <f t="shared" ref="Q414:Q418" si="1258">IF(($Q$4&lt;&gt;0),$Q$4*-10,5)</f>
        <v>5</v>
      </c>
      <c r="R414" s="14"/>
      <c r="S414" s="15">
        <f t="shared" ref="S414" si="1259">R414*10</f>
        <v>0</v>
      </c>
      <c r="T414" s="14"/>
      <c r="U414" s="15">
        <f t="shared" ref="U414" si="1260">T414*-15</f>
        <v>0</v>
      </c>
      <c r="V414" s="16">
        <f t="shared" ref="V414" si="1261">IF(AND(R414=2),10,IF(R414=3,30,IF(R414=4,50,IF(R414=5,70,0))))</f>
        <v>0</v>
      </c>
      <c r="W414" s="17">
        <f t="shared" ref="W414" si="1262">IF(G414="x",H414+J414+L414+N414+O414+P414+Q414+S414+U414+V414,0)</f>
        <v>0</v>
      </c>
    </row>
    <row r="415" spans="1:23" ht="10.5" hidden="1" customHeight="1" x14ac:dyDescent="0.2">
      <c r="A415" s="11"/>
      <c r="B415" s="149">
        <f>COUNTA(Spieltag!K402:AA402)</f>
        <v>0</v>
      </c>
      <c r="C415" s="166">
        <f>Spieltag!A402</f>
        <v>9</v>
      </c>
      <c r="D415" s="21" t="str">
        <f>Spieltag!B402</f>
        <v>Dawid Kownacki (A)</v>
      </c>
      <c r="E415" s="12" t="str">
        <f>Spieltag!C402</f>
        <v>Sturm</v>
      </c>
      <c r="F415" s="13" t="s">
        <v>322</v>
      </c>
      <c r="G415" s="14"/>
      <c r="H415" s="15">
        <f t="shared" ref="H415" si="1263">IF(G415="x",10,0)</f>
        <v>0</v>
      </c>
      <c r="I415" s="14"/>
      <c r="J415" s="15">
        <f t="shared" ref="J415" si="1264">IF((I415="x"),-10,0)</f>
        <v>0</v>
      </c>
      <c r="K415" s="14"/>
      <c r="L415" s="15">
        <f t="shared" ref="L415" si="1265">IF((K415="x"),-20,0)</f>
        <v>0</v>
      </c>
      <c r="M415" s="14"/>
      <c r="N415" s="15">
        <f t="shared" ref="N415" si="1266">IF((M415="x"),-30,0)</f>
        <v>0</v>
      </c>
      <c r="O415" s="16">
        <f t="shared" si="1243"/>
        <v>20</v>
      </c>
      <c r="P415" s="16">
        <f t="shared" si="1244"/>
        <v>10</v>
      </c>
      <c r="Q415" s="16">
        <f t="shared" si="1258"/>
        <v>5</v>
      </c>
      <c r="R415" s="14"/>
      <c r="S415" s="15">
        <f t="shared" ref="S415" si="1267">R415*10</f>
        <v>0</v>
      </c>
      <c r="T415" s="14"/>
      <c r="U415" s="15">
        <f t="shared" ref="U415" si="1268">T415*-15</f>
        <v>0</v>
      </c>
      <c r="V415" s="16">
        <f t="shared" ref="V415" si="1269">IF(AND(R415=2),10,IF(R415=3,30,IF(R415=4,50,IF(R415=5,70,0))))</f>
        <v>0</v>
      </c>
      <c r="W415" s="17">
        <f t="shared" ref="W415" si="1270">IF(G415="x",H415+J415+L415+N415+O415+P415+Q415+S415+U415+V415,0)</f>
        <v>0</v>
      </c>
    </row>
    <row r="416" spans="1:23" ht="10.5" hidden="1" customHeight="1" x14ac:dyDescent="0.2">
      <c r="A416" s="11"/>
      <c r="B416" s="149">
        <f>COUNTA(Spieltag!K403:AA403)</f>
        <v>0</v>
      </c>
      <c r="C416" s="166">
        <f>Spieltag!A403</f>
        <v>17</v>
      </c>
      <c r="D416" s="21" t="str">
        <f>Spieltag!B403</f>
        <v>Justin Njinmah</v>
      </c>
      <c r="E416" s="12" t="str">
        <f>Spieltag!C403</f>
        <v>Sturm</v>
      </c>
      <c r="F416" s="13" t="s">
        <v>322</v>
      </c>
      <c r="G416" s="14"/>
      <c r="H416" s="15">
        <f t="shared" ref="H416:H418" si="1271">IF(G416="x",10,0)</f>
        <v>0</v>
      </c>
      <c r="I416" s="14"/>
      <c r="J416" s="15">
        <f t="shared" ref="J416:J418" si="1272">IF((I416="x"),-10,0)</f>
        <v>0</v>
      </c>
      <c r="K416" s="14"/>
      <c r="L416" s="15">
        <f t="shared" ref="L416:L418" si="1273">IF((K416="x"),-20,0)</f>
        <v>0</v>
      </c>
      <c r="M416" s="14"/>
      <c r="N416" s="15">
        <f t="shared" ref="N416:N418" si="1274">IF((M416="x"),-30,0)</f>
        <v>0</v>
      </c>
      <c r="O416" s="16">
        <f t="shared" si="1243"/>
        <v>20</v>
      </c>
      <c r="P416" s="16">
        <f t="shared" si="1244"/>
        <v>10</v>
      </c>
      <c r="Q416" s="16">
        <f t="shared" si="1258"/>
        <v>5</v>
      </c>
      <c r="R416" s="14"/>
      <c r="S416" s="15">
        <f t="shared" ref="S416:S418" si="1275">R416*10</f>
        <v>0</v>
      </c>
      <c r="T416" s="14"/>
      <c r="U416" s="15">
        <f t="shared" ref="U416:U418" si="1276">T416*-15</f>
        <v>0</v>
      </c>
      <c r="V416" s="16">
        <f t="shared" ref="V416:V418" si="1277">IF(AND(R416=2),10,IF(R416=3,30,IF(R416=4,50,IF(R416=5,70,0))))</f>
        <v>0</v>
      </c>
      <c r="W416" s="17">
        <f t="shared" ref="W416:W418" si="1278">IF(G416="x",H416+J416+L416+N416+O416+P416+Q416+S416+U416+V416,0)</f>
        <v>0</v>
      </c>
    </row>
    <row r="417" spans="1:23" ht="10.5" hidden="1" customHeight="1" x14ac:dyDescent="0.2">
      <c r="A417" s="11"/>
      <c r="B417" s="149">
        <f>COUNTA(Spieltag!K404:AA404)</f>
        <v>0</v>
      </c>
      <c r="C417" s="166">
        <f>Spieltag!A404</f>
        <v>19</v>
      </c>
      <c r="D417" s="21" t="str">
        <f>Spieltag!B404</f>
        <v>Rafael Borré (A)</v>
      </c>
      <c r="E417" s="12" t="str">
        <f>Spieltag!C404</f>
        <v>Sturm</v>
      </c>
      <c r="F417" s="13" t="s">
        <v>322</v>
      </c>
      <c r="G417" s="14"/>
      <c r="H417" s="15">
        <f t="shared" si="1271"/>
        <v>0</v>
      </c>
      <c r="I417" s="14"/>
      <c r="J417" s="15">
        <f t="shared" si="1272"/>
        <v>0</v>
      </c>
      <c r="K417" s="14"/>
      <c r="L417" s="15">
        <f t="shared" si="1273"/>
        <v>0</v>
      </c>
      <c r="M417" s="14"/>
      <c r="N417" s="15">
        <f t="shared" si="1274"/>
        <v>0</v>
      </c>
      <c r="O417" s="16">
        <f t="shared" si="1243"/>
        <v>20</v>
      </c>
      <c r="P417" s="16">
        <f t="shared" si="1244"/>
        <v>10</v>
      </c>
      <c r="Q417" s="16">
        <f t="shared" si="1258"/>
        <v>5</v>
      </c>
      <c r="R417" s="14"/>
      <c r="S417" s="15">
        <f t="shared" si="1275"/>
        <v>0</v>
      </c>
      <c r="T417" s="14"/>
      <c r="U417" s="15">
        <f t="shared" si="1276"/>
        <v>0</v>
      </c>
      <c r="V417" s="16">
        <f t="shared" si="1277"/>
        <v>0</v>
      </c>
      <c r="W417" s="17">
        <f t="shared" si="1278"/>
        <v>0</v>
      </c>
    </row>
    <row r="418" spans="1:23" ht="10.5" hidden="1" customHeight="1" x14ac:dyDescent="0.2">
      <c r="A418" s="11"/>
      <c r="B418" s="149">
        <f>COUNTA(Spieltag!K405:AA405)</f>
        <v>0</v>
      </c>
      <c r="C418" s="166">
        <f>Spieltag!A405</f>
        <v>29</v>
      </c>
      <c r="D418" s="21" t="str">
        <f>Spieltag!B405</f>
        <v>Nick Woltemade</v>
      </c>
      <c r="E418" s="12" t="str">
        <f>Spieltag!C405</f>
        <v>Sturm</v>
      </c>
      <c r="F418" s="13" t="s">
        <v>322</v>
      </c>
      <c r="G418" s="14"/>
      <c r="H418" s="15">
        <f t="shared" si="1271"/>
        <v>0</v>
      </c>
      <c r="I418" s="14"/>
      <c r="J418" s="15">
        <f t="shared" si="1272"/>
        <v>0</v>
      </c>
      <c r="K418" s="14"/>
      <c r="L418" s="15">
        <f t="shared" si="1273"/>
        <v>0</v>
      </c>
      <c r="M418" s="14"/>
      <c r="N418" s="15">
        <f t="shared" si="1274"/>
        <v>0</v>
      </c>
      <c r="O418" s="16">
        <f t="shared" si="1243"/>
        <v>20</v>
      </c>
      <c r="P418" s="16">
        <f t="shared" si="1244"/>
        <v>10</v>
      </c>
      <c r="Q418" s="16">
        <f t="shared" si="1258"/>
        <v>5</v>
      </c>
      <c r="R418" s="14"/>
      <c r="S418" s="15">
        <f t="shared" si="1275"/>
        <v>0</v>
      </c>
      <c r="T418" s="14"/>
      <c r="U418" s="15">
        <f t="shared" si="1276"/>
        <v>0</v>
      </c>
      <c r="V418" s="16">
        <f t="shared" si="1277"/>
        <v>0</v>
      </c>
      <c r="W418" s="17">
        <f t="shared" si="1278"/>
        <v>0</v>
      </c>
    </row>
    <row r="419" spans="1:23" s="144" customFormat="1" ht="17.25" hidden="1" thickBot="1" x14ac:dyDescent="0.25">
      <c r="A419" s="142"/>
      <c r="B419" s="143">
        <f>SUM(B420:B448)</f>
        <v>0</v>
      </c>
      <c r="C419" s="158"/>
      <c r="D419" s="234" t="s">
        <v>261</v>
      </c>
      <c r="E419" s="234"/>
      <c r="F419" s="234"/>
      <c r="G419" s="234"/>
      <c r="H419" s="234"/>
      <c r="I419" s="234"/>
      <c r="J419" s="234"/>
      <c r="K419" s="234"/>
      <c r="L419" s="234"/>
      <c r="M419" s="234"/>
      <c r="N419" s="234"/>
      <c r="O419" s="234"/>
      <c r="P419" s="234"/>
      <c r="Q419" s="234"/>
      <c r="R419" s="234"/>
      <c r="S419" s="234"/>
      <c r="T419" s="234"/>
      <c r="U419" s="234"/>
      <c r="V419" s="234"/>
      <c r="W419" s="235"/>
    </row>
    <row r="420" spans="1:23" ht="10.5" hidden="1" customHeight="1" x14ac:dyDescent="0.2">
      <c r="A420" s="11"/>
      <c r="B420" s="149">
        <f>COUNTA(Spieltag!K407:AA407)</f>
        <v>0</v>
      </c>
      <c r="C420" s="166">
        <f>Spieltag!A407</f>
        <v>1</v>
      </c>
      <c r="D420" s="21" t="str">
        <f>Spieltag!B407</f>
        <v>Manuel Riemann</v>
      </c>
      <c r="E420" s="12" t="str">
        <f>Spieltag!C407</f>
        <v>Torwart</v>
      </c>
      <c r="F420" s="13" t="s">
        <v>317</v>
      </c>
      <c r="G420" s="14"/>
      <c r="H420" s="15">
        <f t="shared" ref="H420" si="1279">IF(G420="x",10,0)</f>
        <v>0</v>
      </c>
      <c r="I420" s="14"/>
      <c r="J420" s="15">
        <f t="shared" ref="J420" si="1280">IF((I420="x"),-10,0)</f>
        <v>0</v>
      </c>
      <c r="K420" s="14"/>
      <c r="L420" s="15">
        <f t="shared" ref="L420" si="1281">IF((K420="x"),-20,0)</f>
        <v>0</v>
      </c>
      <c r="M420" s="14"/>
      <c r="N420" s="15">
        <f t="shared" ref="N420" si="1282">IF((M420="x"),-30,0)</f>
        <v>0</v>
      </c>
      <c r="O420" s="16">
        <f t="shared" ref="O420:O435" si="1283">IF(AND($P$9&gt;$Q$9),20,IF($P$9=$Q$9,10,0))</f>
        <v>10</v>
      </c>
      <c r="P420" s="16">
        <f t="shared" ref="P420:P435" si="1284">IF(($P$9&lt;&gt;0),$P$9*10,-5)</f>
        <v>10</v>
      </c>
      <c r="Q420" s="16">
        <f>IF(($Q$9&lt;&gt;0),$Q$9*-10,20)</f>
        <v>-10</v>
      </c>
      <c r="R420" s="14"/>
      <c r="S420" s="15">
        <f>R420*20</f>
        <v>0</v>
      </c>
      <c r="T420" s="14"/>
      <c r="U420" s="15">
        <f t="shared" ref="U420" si="1285">T420*-15</f>
        <v>0</v>
      </c>
      <c r="V420" s="16">
        <f t="shared" ref="V420" si="1286">IF(AND(R420=2),10,IF(R420=3,30,IF(R420=4,50,IF(R420=5,70,0))))</f>
        <v>0</v>
      </c>
      <c r="W420" s="17">
        <f t="shared" ref="W420" si="1287">IF(G420="x",H420+J420+L420+N420+O420+P420+Q420+S420+U420+V420,0)</f>
        <v>0</v>
      </c>
    </row>
    <row r="421" spans="1:23" ht="10.5" hidden="1" customHeight="1" x14ac:dyDescent="0.2">
      <c r="A421" s="11"/>
      <c r="B421" s="149">
        <f>COUNTA(Spieltag!K408:AA408)</f>
        <v>0</v>
      </c>
      <c r="C421" s="166">
        <f>Spieltag!A408</f>
        <v>21</v>
      </c>
      <c r="D421" s="21" t="str">
        <f>Spieltag!B408</f>
        <v>Michael Esser</v>
      </c>
      <c r="E421" s="12" t="str">
        <f>Spieltag!C408</f>
        <v>Torwart</v>
      </c>
      <c r="F421" s="13" t="s">
        <v>317</v>
      </c>
      <c r="G421" s="14"/>
      <c r="H421" s="15">
        <f t="shared" ref="H421:H423" si="1288">IF(G421="x",10,0)</f>
        <v>0</v>
      </c>
      <c r="I421" s="14"/>
      <c r="J421" s="15">
        <f t="shared" ref="J421:J423" si="1289">IF((I421="x"),-10,0)</f>
        <v>0</v>
      </c>
      <c r="K421" s="14"/>
      <c r="L421" s="15">
        <f t="shared" ref="L421:L423" si="1290">IF((K421="x"),-20,0)</f>
        <v>0</v>
      </c>
      <c r="M421" s="14"/>
      <c r="N421" s="15">
        <f t="shared" ref="N421:N423" si="1291">IF((M421="x"),-30,0)</f>
        <v>0</v>
      </c>
      <c r="O421" s="16">
        <f t="shared" si="1283"/>
        <v>10</v>
      </c>
      <c r="P421" s="16">
        <f t="shared" si="1284"/>
        <v>10</v>
      </c>
      <c r="Q421" s="16">
        <f>IF(($Q$9&lt;&gt;0),$Q$9*-10,20)</f>
        <v>-10</v>
      </c>
      <c r="R421" s="14"/>
      <c r="S421" s="15">
        <f>R421*20</f>
        <v>0</v>
      </c>
      <c r="T421" s="14"/>
      <c r="U421" s="15">
        <f t="shared" ref="U421:U423" si="1292">T421*-15</f>
        <v>0</v>
      </c>
      <c r="V421" s="16">
        <f t="shared" ref="V421:V423" si="1293">IF(AND(R421=2),10,IF(R421=3,30,IF(R421=4,50,IF(R421=5,70,0))))</f>
        <v>0</v>
      </c>
      <c r="W421" s="17">
        <f t="shared" ref="W421:W423" si="1294">IF(G421="x",H421+J421+L421+N421+O421+P421+Q421+S421+U421+V421,0)</f>
        <v>0</v>
      </c>
    </row>
    <row r="422" spans="1:23" ht="10.5" hidden="1" customHeight="1" x14ac:dyDescent="0.2">
      <c r="A422" s="11"/>
      <c r="B422" s="149">
        <f>COUNTA(Spieltag!K409:AA409)</f>
        <v>0</v>
      </c>
      <c r="C422" s="166">
        <f>Spieltag!A409</f>
        <v>23</v>
      </c>
      <c r="D422" s="21" t="str">
        <f>Spieltag!B409</f>
        <v>Nicklas Thiede</v>
      </c>
      <c r="E422" s="12" t="str">
        <f>Spieltag!C409</f>
        <v>Torwart</v>
      </c>
      <c r="F422" s="13" t="s">
        <v>317</v>
      </c>
      <c r="G422" s="14"/>
      <c r="H422" s="15">
        <f t="shared" si="1288"/>
        <v>0</v>
      </c>
      <c r="I422" s="14"/>
      <c r="J422" s="15">
        <f t="shared" si="1289"/>
        <v>0</v>
      </c>
      <c r="K422" s="14"/>
      <c r="L422" s="15">
        <f t="shared" si="1290"/>
        <v>0</v>
      </c>
      <c r="M422" s="14"/>
      <c r="N422" s="15">
        <f t="shared" si="1291"/>
        <v>0</v>
      </c>
      <c r="O422" s="16">
        <f t="shared" si="1283"/>
        <v>10</v>
      </c>
      <c r="P422" s="16">
        <f t="shared" si="1284"/>
        <v>10</v>
      </c>
      <c r="Q422" s="16">
        <f>IF(($Q$9&lt;&gt;0),$Q$9*-10,20)</f>
        <v>-10</v>
      </c>
      <c r="R422" s="14"/>
      <c r="S422" s="15">
        <f>R422*20</f>
        <v>0</v>
      </c>
      <c r="T422" s="14"/>
      <c r="U422" s="15">
        <f t="shared" si="1292"/>
        <v>0</v>
      </c>
      <c r="V422" s="16">
        <f t="shared" si="1293"/>
        <v>0</v>
      </c>
      <c r="W422" s="17">
        <f t="shared" si="1294"/>
        <v>0</v>
      </c>
    </row>
    <row r="423" spans="1:23" ht="10.5" hidden="1" customHeight="1" x14ac:dyDescent="0.2">
      <c r="A423" s="11"/>
      <c r="B423" s="149">
        <f>COUNTA(Spieltag!K410:AA410)</f>
        <v>0</v>
      </c>
      <c r="C423" s="166">
        <f>Spieltag!A410</f>
        <v>26</v>
      </c>
      <c r="D423" s="21" t="str">
        <f>Spieltag!B410</f>
        <v>Andreas Luthe</v>
      </c>
      <c r="E423" s="12" t="str">
        <f>Spieltag!C410</f>
        <v>Torwart</v>
      </c>
      <c r="F423" s="13" t="s">
        <v>317</v>
      </c>
      <c r="G423" s="14"/>
      <c r="H423" s="15">
        <f t="shared" si="1288"/>
        <v>0</v>
      </c>
      <c r="I423" s="14"/>
      <c r="J423" s="15">
        <f t="shared" si="1289"/>
        <v>0</v>
      </c>
      <c r="K423" s="14"/>
      <c r="L423" s="15">
        <f t="shared" si="1290"/>
        <v>0</v>
      </c>
      <c r="M423" s="14"/>
      <c r="N423" s="15">
        <f t="shared" si="1291"/>
        <v>0</v>
      </c>
      <c r="O423" s="16">
        <f t="shared" si="1283"/>
        <v>10</v>
      </c>
      <c r="P423" s="16">
        <f t="shared" si="1284"/>
        <v>10</v>
      </c>
      <c r="Q423" s="16">
        <f>IF(($Q$9&lt;&gt;0),$Q$9*-10,20)</f>
        <v>-10</v>
      </c>
      <c r="R423" s="14"/>
      <c r="S423" s="15">
        <f>R423*20</f>
        <v>0</v>
      </c>
      <c r="T423" s="14"/>
      <c r="U423" s="15">
        <f t="shared" si="1292"/>
        <v>0</v>
      </c>
      <c r="V423" s="16">
        <f t="shared" si="1293"/>
        <v>0</v>
      </c>
      <c r="W423" s="17">
        <f t="shared" si="1294"/>
        <v>0</v>
      </c>
    </row>
    <row r="424" spans="1:23" ht="10.5" hidden="1" customHeight="1" x14ac:dyDescent="0.2">
      <c r="A424" s="11"/>
      <c r="B424" s="149">
        <f>COUNTA(Spieltag!K411:AA411)</f>
        <v>0</v>
      </c>
      <c r="C424" s="166">
        <f>Spieltag!A411</f>
        <v>2</v>
      </c>
      <c r="D424" s="21" t="str">
        <f>Spieltag!B411</f>
        <v>Cristian Gamboa (A)</v>
      </c>
      <c r="E424" s="12" t="str">
        <f>Spieltag!C411</f>
        <v>Abwehr</v>
      </c>
      <c r="F424" s="13" t="s">
        <v>317</v>
      </c>
      <c r="G424" s="14"/>
      <c r="H424" s="15">
        <f t="shared" ref="H424:H425" si="1295">IF(G424="x",10,0)</f>
        <v>0</v>
      </c>
      <c r="I424" s="14"/>
      <c r="J424" s="15">
        <f t="shared" ref="J424:J425" si="1296">IF((I424="x"),-10,0)</f>
        <v>0</v>
      </c>
      <c r="K424" s="14"/>
      <c r="L424" s="15">
        <f t="shared" ref="L424:L425" si="1297">IF((K424="x"),-20,0)</f>
        <v>0</v>
      </c>
      <c r="M424" s="14"/>
      <c r="N424" s="15">
        <f t="shared" ref="N424:N425" si="1298">IF((M424="x"),-30,0)</f>
        <v>0</v>
      </c>
      <c r="O424" s="16">
        <f t="shared" si="1283"/>
        <v>10</v>
      </c>
      <c r="P424" s="16">
        <f t="shared" si="1284"/>
        <v>10</v>
      </c>
      <c r="Q424" s="16">
        <f t="shared" ref="Q424:Q435" si="1299">IF(($Q$9&lt;&gt;0),$Q$9*-10,15)</f>
        <v>-10</v>
      </c>
      <c r="R424" s="14"/>
      <c r="S424" s="15">
        <f t="shared" ref="S424:S425" si="1300">R424*15</f>
        <v>0</v>
      </c>
      <c r="T424" s="14"/>
      <c r="U424" s="15">
        <f t="shared" ref="U424:U425" si="1301">T424*-15</f>
        <v>0</v>
      </c>
      <c r="V424" s="16">
        <f t="shared" ref="V424:V425" si="1302">IF(AND(R424=2),10,IF(R424=3,30,IF(R424=4,50,IF(R424=5,70,0))))</f>
        <v>0</v>
      </c>
      <c r="W424" s="17">
        <f t="shared" ref="W424:W425" si="1303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COUNTA(Spieltag!K412:AA412)</f>
        <v>0</v>
      </c>
      <c r="C425" s="166">
        <f>Spieltag!A412</f>
        <v>3</v>
      </c>
      <c r="D425" s="21" t="str">
        <f>Spieltag!B412</f>
        <v>Danilo Soares (A)</v>
      </c>
      <c r="E425" s="12" t="str">
        <f>Spieltag!C412</f>
        <v>Abwehr</v>
      </c>
      <c r="F425" s="13" t="s">
        <v>317</v>
      </c>
      <c r="G425" s="14"/>
      <c r="H425" s="15">
        <f t="shared" si="1295"/>
        <v>0</v>
      </c>
      <c r="I425" s="14"/>
      <c r="J425" s="15">
        <f t="shared" si="1296"/>
        <v>0</v>
      </c>
      <c r="K425" s="14"/>
      <c r="L425" s="15">
        <f t="shared" si="1297"/>
        <v>0</v>
      </c>
      <c r="M425" s="14"/>
      <c r="N425" s="15">
        <f t="shared" si="1298"/>
        <v>0</v>
      </c>
      <c r="O425" s="16">
        <f t="shared" si="1283"/>
        <v>10</v>
      </c>
      <c r="P425" s="16">
        <f t="shared" si="1284"/>
        <v>10</v>
      </c>
      <c r="Q425" s="16">
        <f t="shared" si="1299"/>
        <v>-10</v>
      </c>
      <c r="R425" s="14"/>
      <c r="S425" s="15">
        <f t="shared" si="1300"/>
        <v>0</v>
      </c>
      <c r="T425" s="14"/>
      <c r="U425" s="15">
        <f t="shared" si="1301"/>
        <v>0</v>
      </c>
      <c r="V425" s="16">
        <f t="shared" si="1302"/>
        <v>0</v>
      </c>
      <c r="W425" s="17">
        <f t="shared" si="1303"/>
        <v>0</v>
      </c>
    </row>
    <row r="426" spans="1:23" ht="10.5" hidden="1" customHeight="1" x14ac:dyDescent="0.2">
      <c r="A426" s="11"/>
      <c r="B426" s="149">
        <f>COUNTA(Spieltag!K413:AA413)</f>
        <v>0</v>
      </c>
      <c r="C426" s="166">
        <f>Spieltag!A413</f>
        <v>4</v>
      </c>
      <c r="D426" s="21" t="str">
        <f>Spieltag!B413</f>
        <v>Erhan Mašović (A)</v>
      </c>
      <c r="E426" s="12" t="str">
        <f>Spieltag!C413</f>
        <v>Abwehr</v>
      </c>
      <c r="F426" s="13" t="s">
        <v>317</v>
      </c>
      <c r="G426" s="14"/>
      <c r="H426" s="15">
        <f t="shared" ref="H426:H431" si="1304">IF(G426="x",10,0)</f>
        <v>0</v>
      </c>
      <c r="I426" s="14"/>
      <c r="J426" s="15">
        <f t="shared" ref="J426:J431" si="1305">IF((I426="x"),-10,0)</f>
        <v>0</v>
      </c>
      <c r="K426" s="14"/>
      <c r="L426" s="15">
        <f t="shared" ref="L426:L431" si="1306">IF((K426="x"),-20,0)</f>
        <v>0</v>
      </c>
      <c r="M426" s="14"/>
      <c r="N426" s="15">
        <f t="shared" ref="N426:N431" si="1307">IF((M426="x"),-30,0)</f>
        <v>0</v>
      </c>
      <c r="O426" s="16">
        <f t="shared" si="1283"/>
        <v>10</v>
      </c>
      <c r="P426" s="16">
        <f t="shared" si="1284"/>
        <v>10</v>
      </c>
      <c r="Q426" s="16">
        <f t="shared" si="1299"/>
        <v>-10</v>
      </c>
      <c r="R426" s="14"/>
      <c r="S426" s="15">
        <f t="shared" ref="S426:S431" si="1308">R426*15</f>
        <v>0</v>
      </c>
      <c r="T426" s="14"/>
      <c r="U426" s="15">
        <f t="shared" ref="U426:U431" si="1309">T426*-15</f>
        <v>0</v>
      </c>
      <c r="V426" s="16">
        <f t="shared" ref="V426:V431" si="1310">IF(AND(R426=2),10,IF(R426=3,30,IF(R426=4,50,IF(R426=5,70,0))))</f>
        <v>0</v>
      </c>
      <c r="W426" s="17">
        <f t="shared" ref="W426:W431" si="1311">IF(G426="x",H426+J426+L426+N426+O426+P426+Q426+S426+U426+V426,0)</f>
        <v>0</v>
      </c>
    </row>
    <row r="427" spans="1:23" ht="10.5" hidden="1" customHeight="1" x14ac:dyDescent="0.2">
      <c r="A427" s="11"/>
      <c r="B427" s="149">
        <f>COUNTA(Spieltag!K414:AA414)</f>
        <v>0</v>
      </c>
      <c r="C427" s="166">
        <f>Spieltag!A414</f>
        <v>5</v>
      </c>
      <c r="D427" s="21" t="str">
        <f>Spieltag!B414</f>
        <v>Bernardo (A)</v>
      </c>
      <c r="E427" s="12" t="str">
        <f>Spieltag!C414</f>
        <v>Abwehr</v>
      </c>
      <c r="F427" s="13" t="s">
        <v>317</v>
      </c>
      <c r="G427" s="14"/>
      <c r="H427" s="15">
        <f t="shared" si="1304"/>
        <v>0</v>
      </c>
      <c r="I427" s="14"/>
      <c r="J427" s="15">
        <f t="shared" si="1305"/>
        <v>0</v>
      </c>
      <c r="K427" s="14"/>
      <c r="L427" s="15">
        <f t="shared" si="1306"/>
        <v>0</v>
      </c>
      <c r="M427" s="14"/>
      <c r="N427" s="15">
        <f t="shared" si="1307"/>
        <v>0</v>
      </c>
      <c r="O427" s="16">
        <f t="shared" si="1283"/>
        <v>10</v>
      </c>
      <c r="P427" s="16">
        <f t="shared" si="1284"/>
        <v>10</v>
      </c>
      <c r="Q427" s="16">
        <f t="shared" si="1299"/>
        <v>-10</v>
      </c>
      <c r="R427" s="14"/>
      <c r="S427" s="15">
        <f t="shared" si="1308"/>
        <v>0</v>
      </c>
      <c r="T427" s="14"/>
      <c r="U427" s="15">
        <f t="shared" si="1309"/>
        <v>0</v>
      </c>
      <c r="V427" s="16">
        <f t="shared" si="1310"/>
        <v>0</v>
      </c>
      <c r="W427" s="17">
        <f t="shared" si="1311"/>
        <v>0</v>
      </c>
    </row>
    <row r="428" spans="1:23" ht="10.5" hidden="1" customHeight="1" x14ac:dyDescent="0.2">
      <c r="A428" s="11"/>
      <c r="B428" s="149">
        <f>COUNTA(Spieltag!K415:AA415)</f>
        <v>0</v>
      </c>
      <c r="C428" s="166">
        <f>Spieltag!A415</f>
        <v>14</v>
      </c>
      <c r="D428" s="21" t="str">
        <f>Spieltag!B415</f>
        <v>Tim Oermann</v>
      </c>
      <c r="E428" s="12" t="str">
        <f>Spieltag!C415</f>
        <v>Abwehr</v>
      </c>
      <c r="F428" s="13" t="s">
        <v>317</v>
      </c>
      <c r="G428" s="14"/>
      <c r="H428" s="15">
        <f t="shared" ref="H428" si="1312">IF(G428="x",10,0)</f>
        <v>0</v>
      </c>
      <c r="I428" s="14"/>
      <c r="J428" s="15">
        <f t="shared" ref="J428" si="1313">IF((I428="x"),-10,0)</f>
        <v>0</v>
      </c>
      <c r="K428" s="14"/>
      <c r="L428" s="15">
        <f t="shared" ref="L428" si="1314">IF((K428="x"),-20,0)</f>
        <v>0</v>
      </c>
      <c r="M428" s="14"/>
      <c r="N428" s="15">
        <f t="shared" ref="N428" si="1315">IF((M428="x"),-30,0)</f>
        <v>0</v>
      </c>
      <c r="O428" s="16">
        <f t="shared" si="1283"/>
        <v>10</v>
      </c>
      <c r="P428" s="16">
        <f t="shared" si="1284"/>
        <v>10</v>
      </c>
      <c r="Q428" s="16">
        <f t="shared" si="1299"/>
        <v>-10</v>
      </c>
      <c r="R428" s="14"/>
      <c r="S428" s="15">
        <f t="shared" ref="S428" si="1316">R428*15</f>
        <v>0</v>
      </c>
      <c r="T428" s="14"/>
      <c r="U428" s="15">
        <f t="shared" ref="U428" si="1317">T428*-15</f>
        <v>0</v>
      </c>
      <c r="V428" s="16">
        <f t="shared" ref="V428" si="1318">IF(AND(R428=2),10,IF(R428=3,30,IF(R428=4,50,IF(R428=5,70,0))))</f>
        <v>0</v>
      </c>
      <c r="W428" s="17">
        <f t="shared" ref="W428" si="1319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COUNTA(Spieltag!K416:AA416)</f>
        <v>0</v>
      </c>
      <c r="C429" s="166">
        <f>Spieltag!A416</f>
        <v>15</v>
      </c>
      <c r="D429" s="21" t="str">
        <f>Spieltag!B416</f>
        <v>Felix Passlack</v>
      </c>
      <c r="E429" s="12" t="str">
        <f>Spieltag!C416</f>
        <v>Abwehr</v>
      </c>
      <c r="F429" s="13" t="s">
        <v>317</v>
      </c>
      <c r="G429" s="14"/>
      <c r="H429" s="15">
        <f t="shared" si="1304"/>
        <v>0</v>
      </c>
      <c r="I429" s="14"/>
      <c r="J429" s="15">
        <f t="shared" si="1305"/>
        <v>0</v>
      </c>
      <c r="K429" s="14"/>
      <c r="L429" s="15">
        <f t="shared" si="1306"/>
        <v>0</v>
      </c>
      <c r="M429" s="14"/>
      <c r="N429" s="15">
        <f t="shared" si="1307"/>
        <v>0</v>
      </c>
      <c r="O429" s="16">
        <f t="shared" si="1283"/>
        <v>10</v>
      </c>
      <c r="P429" s="16">
        <f t="shared" si="1284"/>
        <v>10</v>
      </c>
      <c r="Q429" s="16">
        <f t="shared" si="1299"/>
        <v>-10</v>
      </c>
      <c r="R429" s="14"/>
      <c r="S429" s="15">
        <f t="shared" si="1308"/>
        <v>0</v>
      </c>
      <c r="T429" s="14"/>
      <c r="U429" s="15">
        <f t="shared" si="1309"/>
        <v>0</v>
      </c>
      <c r="V429" s="16">
        <f t="shared" si="1310"/>
        <v>0</v>
      </c>
      <c r="W429" s="17">
        <f t="shared" si="1311"/>
        <v>0</v>
      </c>
    </row>
    <row r="430" spans="1:23" ht="10.5" hidden="1" customHeight="1" x14ac:dyDescent="0.2">
      <c r="A430" s="11"/>
      <c r="B430" s="149">
        <f>COUNTA(Spieltag!K417:AA417)</f>
        <v>0</v>
      </c>
      <c r="C430" s="166">
        <f>Spieltag!A417</f>
        <v>20</v>
      </c>
      <c r="D430" s="21" t="str">
        <f>Spieltag!B417</f>
        <v>Ivan Ordets (A)</v>
      </c>
      <c r="E430" s="12" t="str">
        <f>Spieltag!C417</f>
        <v>Abwehr</v>
      </c>
      <c r="F430" s="13" t="s">
        <v>317</v>
      </c>
      <c r="G430" s="14"/>
      <c r="H430" s="15">
        <f t="shared" si="1304"/>
        <v>0</v>
      </c>
      <c r="I430" s="14"/>
      <c r="J430" s="15">
        <f t="shared" si="1305"/>
        <v>0</v>
      </c>
      <c r="K430" s="14"/>
      <c r="L430" s="15">
        <f t="shared" si="1306"/>
        <v>0</v>
      </c>
      <c r="M430" s="14"/>
      <c r="N430" s="15">
        <f t="shared" si="1307"/>
        <v>0</v>
      </c>
      <c r="O430" s="16">
        <f t="shared" si="1283"/>
        <v>10</v>
      </c>
      <c r="P430" s="16">
        <f t="shared" si="1284"/>
        <v>10</v>
      </c>
      <c r="Q430" s="16">
        <f t="shared" si="1299"/>
        <v>-10</v>
      </c>
      <c r="R430" s="14"/>
      <c r="S430" s="15">
        <f t="shared" si="1308"/>
        <v>0</v>
      </c>
      <c r="T430" s="14"/>
      <c r="U430" s="15">
        <f t="shared" si="1309"/>
        <v>0</v>
      </c>
      <c r="V430" s="16">
        <f t="shared" si="1310"/>
        <v>0</v>
      </c>
      <c r="W430" s="17">
        <f t="shared" si="1311"/>
        <v>0</v>
      </c>
    </row>
    <row r="431" spans="1:23" ht="10.5" hidden="1" customHeight="1" x14ac:dyDescent="0.2">
      <c r="A431" s="11"/>
      <c r="B431" s="149">
        <f>COUNTA(Spieltag!K418:AA418)</f>
        <v>0</v>
      </c>
      <c r="C431" s="166">
        <f>Spieltag!A418</f>
        <v>25</v>
      </c>
      <c r="D431" s="21" t="str">
        <f>Spieltag!B418</f>
        <v>Mohammed Tolba</v>
      </c>
      <c r="E431" s="12" t="str">
        <f>Spieltag!C418</f>
        <v>Abwehr</v>
      </c>
      <c r="F431" s="13" t="s">
        <v>317</v>
      </c>
      <c r="G431" s="14"/>
      <c r="H431" s="15">
        <f t="shared" si="1304"/>
        <v>0</v>
      </c>
      <c r="I431" s="14"/>
      <c r="J431" s="15">
        <f t="shared" si="1305"/>
        <v>0</v>
      </c>
      <c r="K431" s="14"/>
      <c r="L431" s="15">
        <f t="shared" si="1306"/>
        <v>0</v>
      </c>
      <c r="M431" s="14"/>
      <c r="N431" s="15">
        <f t="shared" si="1307"/>
        <v>0</v>
      </c>
      <c r="O431" s="16">
        <f t="shared" si="1283"/>
        <v>10</v>
      </c>
      <c r="P431" s="16">
        <f t="shared" si="1284"/>
        <v>10</v>
      </c>
      <c r="Q431" s="16">
        <f t="shared" si="1299"/>
        <v>-10</v>
      </c>
      <c r="R431" s="14"/>
      <c r="S431" s="15">
        <f t="shared" si="1308"/>
        <v>0</v>
      </c>
      <c r="T431" s="14"/>
      <c r="U431" s="15">
        <f t="shared" si="1309"/>
        <v>0</v>
      </c>
      <c r="V431" s="16">
        <f t="shared" si="1310"/>
        <v>0</v>
      </c>
      <c r="W431" s="17">
        <f t="shared" si="1311"/>
        <v>0</v>
      </c>
    </row>
    <row r="432" spans="1:23" ht="10.5" hidden="1" customHeight="1" x14ac:dyDescent="0.2">
      <c r="A432" s="11"/>
      <c r="B432" s="149">
        <f>COUNTA(Spieltag!K419:AA419)</f>
        <v>0</v>
      </c>
      <c r="C432" s="166">
        <f>Spieltag!A419</f>
        <v>30</v>
      </c>
      <c r="D432" s="21" t="str">
        <f>Spieltag!B419</f>
        <v>Moritz Römling</v>
      </c>
      <c r="E432" s="12" t="str">
        <f>Spieltag!C419</f>
        <v>Abwehr</v>
      </c>
      <c r="F432" s="13" t="s">
        <v>317</v>
      </c>
      <c r="G432" s="14"/>
      <c r="H432" s="15">
        <f t="shared" ref="H432:H435" si="1320">IF(G432="x",10,0)</f>
        <v>0</v>
      </c>
      <c r="I432" s="14"/>
      <c r="J432" s="15">
        <f t="shared" ref="J432:J435" si="1321">IF((I432="x"),-10,0)</f>
        <v>0</v>
      </c>
      <c r="K432" s="14"/>
      <c r="L432" s="15">
        <f t="shared" ref="L432:L435" si="1322">IF((K432="x"),-20,0)</f>
        <v>0</v>
      </c>
      <c r="M432" s="14"/>
      <c r="N432" s="15">
        <f t="shared" ref="N432:N435" si="1323">IF((M432="x"),-30,0)</f>
        <v>0</v>
      </c>
      <c r="O432" s="16">
        <f t="shared" si="1283"/>
        <v>10</v>
      </c>
      <c r="P432" s="16">
        <f t="shared" si="1284"/>
        <v>10</v>
      </c>
      <c r="Q432" s="16">
        <f t="shared" si="1299"/>
        <v>-10</v>
      </c>
      <c r="R432" s="14"/>
      <c r="S432" s="15">
        <f t="shared" ref="S432:S435" si="1324">R432*15</f>
        <v>0</v>
      </c>
      <c r="T432" s="14"/>
      <c r="U432" s="15">
        <f t="shared" ref="U432:U435" si="1325">T432*-15</f>
        <v>0</v>
      </c>
      <c r="V432" s="16">
        <f t="shared" ref="V432:V435" si="1326">IF(AND(R432=2),10,IF(R432=3,30,IF(R432=4,50,IF(R432=5,70,0))))</f>
        <v>0</v>
      </c>
      <c r="W432" s="17">
        <f t="shared" ref="W432:W435" si="1327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COUNTA(Spieltag!K420:AA420)</f>
        <v>0</v>
      </c>
      <c r="C433" s="166">
        <f>Spieltag!A420</f>
        <v>31</v>
      </c>
      <c r="D433" s="21" t="str">
        <f>Spieltag!B420</f>
        <v>Keven Schlotterbeck</v>
      </c>
      <c r="E433" s="12" t="str">
        <f>Spieltag!C420</f>
        <v>Abwehr</v>
      </c>
      <c r="F433" s="13" t="s">
        <v>317</v>
      </c>
      <c r="G433" s="14"/>
      <c r="H433" s="15">
        <f>IF(G433="x",10,0)</f>
        <v>0</v>
      </c>
      <c r="I433" s="14"/>
      <c r="J433" s="15">
        <f>IF((I433="x"),-10,0)</f>
        <v>0</v>
      </c>
      <c r="K433" s="14"/>
      <c r="L433" s="15">
        <f>IF((K433="x"),-20,0)</f>
        <v>0</v>
      </c>
      <c r="M433" s="14"/>
      <c r="N433" s="15">
        <f>IF((M433="x"),-30,0)</f>
        <v>0</v>
      </c>
      <c r="O433" s="16">
        <f t="shared" si="1283"/>
        <v>10</v>
      </c>
      <c r="P433" s="16">
        <f t="shared" si="1284"/>
        <v>10</v>
      </c>
      <c r="Q433" s="16">
        <f t="shared" si="1299"/>
        <v>-10</v>
      </c>
      <c r="R433" s="14"/>
      <c r="S433" s="15">
        <f>R433*15</f>
        <v>0</v>
      </c>
      <c r="T433" s="14"/>
      <c r="U433" s="15">
        <f>T433*-15</f>
        <v>0</v>
      </c>
      <c r="V433" s="16">
        <f>IF(AND(R433=2),10,IF(R433=3,30,IF(R433=4,50,IF(R433=5,70,0))))</f>
        <v>0</v>
      </c>
      <c r="W433" s="17">
        <f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COUNTA(Spieltag!K421:AA421)</f>
        <v>0</v>
      </c>
      <c r="C434" s="166">
        <f>Spieltag!A421</f>
        <v>32</v>
      </c>
      <c r="D434" s="21" t="str">
        <f>Spieltag!B421</f>
        <v>Maximilian Wittek</v>
      </c>
      <c r="E434" s="12" t="str">
        <f>Spieltag!C421</f>
        <v>Abwehr</v>
      </c>
      <c r="F434" s="13" t="s">
        <v>317</v>
      </c>
      <c r="G434" s="14"/>
      <c r="H434" s="15">
        <f>IF(G434="x",10,0)</f>
        <v>0</v>
      </c>
      <c r="I434" s="14"/>
      <c r="J434" s="15">
        <f>IF((I434="x"),-10,0)</f>
        <v>0</v>
      </c>
      <c r="K434" s="14"/>
      <c r="L434" s="15">
        <f>IF((K434="x"),-20,0)</f>
        <v>0</v>
      </c>
      <c r="M434" s="14"/>
      <c r="N434" s="15">
        <f>IF((M434="x"),-30,0)</f>
        <v>0</v>
      </c>
      <c r="O434" s="16">
        <f t="shared" si="1283"/>
        <v>10</v>
      </c>
      <c r="P434" s="16">
        <f t="shared" si="1284"/>
        <v>10</v>
      </c>
      <c r="Q434" s="16">
        <f t="shared" si="1299"/>
        <v>-10</v>
      </c>
      <c r="R434" s="14"/>
      <c r="S434" s="15">
        <f>R434*15</f>
        <v>0</v>
      </c>
      <c r="T434" s="14"/>
      <c r="U434" s="15">
        <f>T434*-15</f>
        <v>0</v>
      </c>
      <c r="V434" s="16">
        <f>IF(AND(R434=2),10,IF(R434=3,30,IF(R434=4,50,IF(R434=5,70,0))))</f>
        <v>0</v>
      </c>
      <c r="W434" s="17">
        <f>IF(G434="x",H434+J434+L434+N434+O434+P434+Q434+S434+U434+V434,0)</f>
        <v>0</v>
      </c>
    </row>
    <row r="435" spans="1:23" ht="10.5" hidden="1" customHeight="1" x14ac:dyDescent="0.2">
      <c r="A435" s="11"/>
      <c r="B435" s="149">
        <f>COUNTA(Spieltag!K422:AA422)</f>
        <v>0</v>
      </c>
      <c r="C435" s="166">
        <f>Spieltag!A422</f>
        <v>41</v>
      </c>
      <c r="D435" s="21" t="str">
        <f>Spieltag!B422</f>
        <v>Noah Loosli (A)</v>
      </c>
      <c r="E435" s="12" t="str">
        <f>Spieltag!C422</f>
        <v>Abwehr</v>
      </c>
      <c r="F435" s="13" t="s">
        <v>317</v>
      </c>
      <c r="G435" s="14"/>
      <c r="H435" s="15">
        <f t="shared" si="1320"/>
        <v>0</v>
      </c>
      <c r="I435" s="14"/>
      <c r="J435" s="15">
        <f t="shared" si="1321"/>
        <v>0</v>
      </c>
      <c r="K435" s="14"/>
      <c r="L435" s="15">
        <f t="shared" si="1322"/>
        <v>0</v>
      </c>
      <c r="M435" s="14"/>
      <c r="N435" s="15">
        <f t="shared" si="1323"/>
        <v>0</v>
      </c>
      <c r="O435" s="16">
        <f t="shared" si="1283"/>
        <v>10</v>
      </c>
      <c r="P435" s="16">
        <f t="shared" si="1284"/>
        <v>10</v>
      </c>
      <c r="Q435" s="16">
        <f t="shared" si="1299"/>
        <v>-10</v>
      </c>
      <c r="R435" s="14"/>
      <c r="S435" s="15">
        <f t="shared" si="1324"/>
        <v>0</v>
      </c>
      <c r="T435" s="14"/>
      <c r="U435" s="15">
        <f t="shared" si="1325"/>
        <v>0</v>
      </c>
      <c r="V435" s="16">
        <f t="shared" si="1326"/>
        <v>0</v>
      </c>
      <c r="W435" s="17">
        <f t="shared" si="1327"/>
        <v>0</v>
      </c>
    </row>
    <row r="436" spans="1:23" ht="10.5" hidden="1" customHeight="1" x14ac:dyDescent="0.2">
      <c r="A436" s="11"/>
      <c r="B436" s="149">
        <f>COUNTA(Spieltag!K423:AA423)</f>
        <v>0</v>
      </c>
      <c r="C436" s="166">
        <f>Spieltag!A423</f>
        <v>6</v>
      </c>
      <c r="D436" s="21" t="str">
        <f>Spieltag!B423</f>
        <v>Patrick Osterhage</v>
      </c>
      <c r="E436" s="12" t="str">
        <f>Spieltag!C423</f>
        <v>Mittelfeld</v>
      </c>
      <c r="F436" s="13" t="s">
        <v>317</v>
      </c>
      <c r="G436" s="14"/>
      <c r="H436" s="15">
        <f t="shared" ref="H436" si="1328">IF(G436="x",10,0)</f>
        <v>0</v>
      </c>
      <c r="I436" s="14"/>
      <c r="J436" s="15">
        <f t="shared" ref="J436" si="1329">IF((I436="x"),-10,0)</f>
        <v>0</v>
      </c>
      <c r="K436" s="14"/>
      <c r="L436" s="15">
        <f t="shared" ref="L436" si="1330">IF((K436="x"),-20,0)</f>
        <v>0</v>
      </c>
      <c r="M436" s="14"/>
      <c r="N436" s="15">
        <f t="shared" ref="N436" si="1331">IF((M436="x"),-30,0)</f>
        <v>0</v>
      </c>
      <c r="O436" s="16">
        <f t="shared" ref="O436:O448" si="1332">IF(AND($P$9&gt;$Q$9),20,IF($P$9=$Q$9,10,0))</f>
        <v>10</v>
      </c>
      <c r="P436" s="16">
        <f t="shared" ref="P436:P448" si="1333">IF(($P$9&lt;&gt;0),$P$9*10,-5)</f>
        <v>10</v>
      </c>
      <c r="Q436" s="16">
        <f t="shared" ref="Q436:Q443" si="1334">IF(($Q$9&lt;&gt;0),$Q$9*-10,10)</f>
        <v>-10</v>
      </c>
      <c r="R436" s="14"/>
      <c r="S436" s="15">
        <f t="shared" ref="S436" si="1335">R436*10</f>
        <v>0</v>
      </c>
      <c r="T436" s="14"/>
      <c r="U436" s="15">
        <f t="shared" ref="U436" si="1336">T436*-15</f>
        <v>0</v>
      </c>
      <c r="V436" s="16">
        <f t="shared" ref="V436" si="1337">IF(AND(R436=2),10,IF(R436=3,30,IF(R436=4,50,IF(R436=5,70,0))))</f>
        <v>0</v>
      </c>
      <c r="W436" s="17">
        <f t="shared" ref="W436" si="1338">IF(G436="x",H436+J436+L436+N436+O436+P436+Q436+S436+U436+V436,0)</f>
        <v>0</v>
      </c>
    </row>
    <row r="437" spans="1:23" ht="10.5" hidden="1" customHeight="1" x14ac:dyDescent="0.2">
      <c r="A437" s="11"/>
      <c r="B437" s="149">
        <f>COUNTA(Spieltag!K424:AA424)</f>
        <v>0</v>
      </c>
      <c r="C437" s="166">
        <f>Spieltag!A424</f>
        <v>7</v>
      </c>
      <c r="D437" s="21" t="str">
        <f>Spieltag!B424</f>
        <v>Kevin Stöger (A)</v>
      </c>
      <c r="E437" s="12" t="str">
        <f>Spieltag!C424</f>
        <v>Mittelfeld</v>
      </c>
      <c r="F437" s="13" t="s">
        <v>317</v>
      </c>
      <c r="G437" s="14"/>
      <c r="H437" s="15">
        <f t="shared" ref="H437:H443" si="1339">IF(G437="x",10,0)</f>
        <v>0</v>
      </c>
      <c r="I437" s="14"/>
      <c r="J437" s="15">
        <f t="shared" ref="J437:J443" si="1340">IF((I437="x"),-10,0)</f>
        <v>0</v>
      </c>
      <c r="K437" s="14"/>
      <c r="L437" s="15">
        <f t="shared" ref="L437:L443" si="1341">IF((K437="x"),-20,0)</f>
        <v>0</v>
      </c>
      <c r="M437" s="14"/>
      <c r="N437" s="15">
        <f t="shared" ref="N437:N443" si="1342">IF((M437="x"),-30,0)</f>
        <v>0</v>
      </c>
      <c r="O437" s="16">
        <f t="shared" si="1332"/>
        <v>10</v>
      </c>
      <c r="P437" s="16">
        <f t="shared" si="1333"/>
        <v>10</v>
      </c>
      <c r="Q437" s="16">
        <f t="shared" si="1334"/>
        <v>-10</v>
      </c>
      <c r="R437" s="14"/>
      <c r="S437" s="15">
        <f t="shared" ref="S437:S443" si="1343">R437*10</f>
        <v>0</v>
      </c>
      <c r="T437" s="14"/>
      <c r="U437" s="15">
        <f t="shared" ref="U437:U443" si="1344">T437*-15</f>
        <v>0</v>
      </c>
      <c r="V437" s="16">
        <f t="shared" ref="V437:V443" si="1345">IF(AND(R437=2),10,IF(R437=3,30,IF(R437=4,50,IF(R437=5,70,0))))</f>
        <v>0</v>
      </c>
      <c r="W437" s="17">
        <f t="shared" ref="W437:W443" si="1346">IF(G437="x",H437+J437+L437+N437+O437+P437+Q437+S437+U437+V437,0)</f>
        <v>0</v>
      </c>
    </row>
    <row r="438" spans="1:23" ht="10.5" hidden="1" customHeight="1" x14ac:dyDescent="0.2">
      <c r="A438" s="11"/>
      <c r="B438" s="149">
        <f>COUNTA(Spieltag!K425:AA425)</f>
        <v>0</v>
      </c>
      <c r="C438" s="166">
        <f>Spieltag!A425</f>
        <v>8</v>
      </c>
      <c r="D438" s="21" t="str">
        <f>Spieltag!B425</f>
        <v>Anthony Losilia (A)</v>
      </c>
      <c r="E438" s="12" t="str">
        <f>Spieltag!C425</f>
        <v>Mittelfeld</v>
      </c>
      <c r="F438" s="13" t="s">
        <v>317</v>
      </c>
      <c r="G438" s="14"/>
      <c r="H438" s="15">
        <f t="shared" si="1339"/>
        <v>0</v>
      </c>
      <c r="I438" s="14"/>
      <c r="J438" s="15">
        <f t="shared" si="1340"/>
        <v>0</v>
      </c>
      <c r="K438" s="14"/>
      <c r="L438" s="15">
        <f t="shared" si="1341"/>
        <v>0</v>
      </c>
      <c r="M438" s="14"/>
      <c r="N438" s="15">
        <f t="shared" si="1342"/>
        <v>0</v>
      </c>
      <c r="O438" s="16">
        <f t="shared" si="1332"/>
        <v>10</v>
      </c>
      <c r="P438" s="16">
        <f t="shared" si="1333"/>
        <v>10</v>
      </c>
      <c r="Q438" s="16">
        <f t="shared" si="1334"/>
        <v>-10</v>
      </c>
      <c r="R438" s="14"/>
      <c r="S438" s="15">
        <f t="shared" si="1343"/>
        <v>0</v>
      </c>
      <c r="T438" s="14"/>
      <c r="U438" s="15">
        <f t="shared" si="1344"/>
        <v>0</v>
      </c>
      <c r="V438" s="16">
        <f t="shared" si="1345"/>
        <v>0</v>
      </c>
      <c r="W438" s="17">
        <f t="shared" si="1346"/>
        <v>0</v>
      </c>
    </row>
    <row r="439" spans="1:23" ht="10.5" hidden="1" customHeight="1" x14ac:dyDescent="0.2">
      <c r="A439" s="11"/>
      <c r="B439" s="149">
        <f>COUNTA(Spieltag!K426:AA426)</f>
        <v>0</v>
      </c>
      <c r="C439" s="166">
        <f>Spieltag!A426</f>
        <v>10</v>
      </c>
      <c r="D439" s="21" t="str">
        <f>Spieltag!B426</f>
        <v>Philipp Förster</v>
      </c>
      <c r="E439" s="12" t="str">
        <f>Spieltag!C426</f>
        <v>Mittelfeld</v>
      </c>
      <c r="F439" s="13" t="s">
        <v>317</v>
      </c>
      <c r="G439" s="14"/>
      <c r="H439" s="15">
        <f t="shared" si="1339"/>
        <v>0</v>
      </c>
      <c r="I439" s="14"/>
      <c r="J439" s="15">
        <f t="shared" si="1340"/>
        <v>0</v>
      </c>
      <c r="K439" s="14"/>
      <c r="L439" s="15">
        <f t="shared" si="1341"/>
        <v>0</v>
      </c>
      <c r="M439" s="14"/>
      <c r="N439" s="15">
        <f t="shared" si="1342"/>
        <v>0</v>
      </c>
      <c r="O439" s="16">
        <f t="shared" si="1332"/>
        <v>10</v>
      </c>
      <c r="P439" s="16">
        <f t="shared" si="1333"/>
        <v>10</v>
      </c>
      <c r="Q439" s="16">
        <f t="shared" si="1334"/>
        <v>-10</v>
      </c>
      <c r="R439" s="14"/>
      <c r="S439" s="15">
        <f t="shared" si="1343"/>
        <v>0</v>
      </c>
      <c r="T439" s="14"/>
      <c r="U439" s="15">
        <f t="shared" si="1344"/>
        <v>0</v>
      </c>
      <c r="V439" s="16">
        <f t="shared" si="1345"/>
        <v>0</v>
      </c>
      <c r="W439" s="17">
        <f t="shared" si="1346"/>
        <v>0</v>
      </c>
    </row>
    <row r="440" spans="1:23" ht="10.5" hidden="1" customHeight="1" x14ac:dyDescent="0.2">
      <c r="A440" s="11"/>
      <c r="B440" s="149">
        <f>COUNTA(Spieltag!K427:AA427)</f>
        <v>0</v>
      </c>
      <c r="C440" s="166">
        <f>Spieltag!A427</f>
        <v>13</v>
      </c>
      <c r="D440" s="21" t="str">
        <f>Spieltag!B427</f>
        <v>Lukas Daschner</v>
      </c>
      <c r="E440" s="12" t="str">
        <f>Spieltag!C427</f>
        <v>Mittelfeld</v>
      </c>
      <c r="F440" s="13" t="s">
        <v>317</v>
      </c>
      <c r="G440" s="14"/>
      <c r="H440" s="15">
        <f t="shared" si="1339"/>
        <v>0</v>
      </c>
      <c r="I440" s="14"/>
      <c r="J440" s="15">
        <f t="shared" si="1340"/>
        <v>0</v>
      </c>
      <c r="K440" s="14"/>
      <c r="L440" s="15">
        <f t="shared" si="1341"/>
        <v>0</v>
      </c>
      <c r="M440" s="14"/>
      <c r="N440" s="15">
        <f t="shared" si="1342"/>
        <v>0</v>
      </c>
      <c r="O440" s="16">
        <f t="shared" si="1332"/>
        <v>10</v>
      </c>
      <c r="P440" s="16">
        <f t="shared" si="1333"/>
        <v>10</v>
      </c>
      <c r="Q440" s="16">
        <f t="shared" si="1334"/>
        <v>-10</v>
      </c>
      <c r="R440" s="14"/>
      <c r="S440" s="15">
        <f t="shared" si="1343"/>
        <v>0</v>
      </c>
      <c r="T440" s="14"/>
      <c r="U440" s="15">
        <f t="shared" si="1344"/>
        <v>0</v>
      </c>
      <c r="V440" s="16">
        <f t="shared" si="1345"/>
        <v>0</v>
      </c>
      <c r="W440" s="17">
        <f t="shared" si="1346"/>
        <v>0</v>
      </c>
    </row>
    <row r="441" spans="1:23" ht="10.5" hidden="1" customHeight="1" x14ac:dyDescent="0.2">
      <c r="A441" s="11"/>
      <c r="B441" s="149">
        <f>COUNTA(Spieltag!K428:AA428)</f>
        <v>0</v>
      </c>
      <c r="C441" s="166">
        <f>Spieltag!A428</f>
        <v>19</v>
      </c>
      <c r="D441" s="21" t="str">
        <f>Spieltag!B428</f>
        <v>Matúš Bero (A)</v>
      </c>
      <c r="E441" s="12" t="str">
        <f>Spieltag!C428</f>
        <v>Mittelfeld</v>
      </c>
      <c r="F441" s="13" t="s">
        <v>317</v>
      </c>
      <c r="G441" s="14"/>
      <c r="H441" s="15">
        <f t="shared" si="1339"/>
        <v>0</v>
      </c>
      <c r="I441" s="14"/>
      <c r="J441" s="15">
        <f t="shared" si="1340"/>
        <v>0</v>
      </c>
      <c r="K441" s="14"/>
      <c r="L441" s="15">
        <f t="shared" si="1341"/>
        <v>0</v>
      </c>
      <c r="M441" s="14"/>
      <c r="N441" s="15">
        <f t="shared" si="1342"/>
        <v>0</v>
      </c>
      <c r="O441" s="16">
        <f t="shared" si="1332"/>
        <v>10</v>
      </c>
      <c r="P441" s="16">
        <f t="shared" si="1333"/>
        <v>10</v>
      </c>
      <c r="Q441" s="16">
        <f t="shared" si="1334"/>
        <v>-10</v>
      </c>
      <c r="R441" s="14"/>
      <c r="S441" s="15">
        <f t="shared" si="1343"/>
        <v>0</v>
      </c>
      <c r="T441" s="14"/>
      <c r="U441" s="15">
        <f t="shared" si="1344"/>
        <v>0</v>
      </c>
      <c r="V441" s="16">
        <f t="shared" si="1345"/>
        <v>0</v>
      </c>
      <c r="W441" s="17">
        <f t="shared" si="1346"/>
        <v>0</v>
      </c>
    </row>
    <row r="442" spans="1:23" ht="10.5" hidden="1" customHeight="1" x14ac:dyDescent="0.2">
      <c r="A442" s="11"/>
      <c r="B442" s="149">
        <f>COUNTA(Spieltag!K429:AA429)</f>
        <v>0</v>
      </c>
      <c r="C442" s="166">
        <f>Spieltag!A429</f>
        <v>24</v>
      </c>
      <c r="D442" s="21" t="str">
        <f>Spieltag!B429</f>
        <v>Mats Pannewig</v>
      </c>
      <c r="E442" s="12" t="str">
        <f>Spieltag!C429</f>
        <v>Mittelfeld</v>
      </c>
      <c r="F442" s="13" t="s">
        <v>317</v>
      </c>
      <c r="G442" s="14"/>
      <c r="H442" s="15">
        <f t="shared" ref="H442" si="1347">IF(G442="x",10,0)</f>
        <v>0</v>
      </c>
      <c r="I442" s="14"/>
      <c r="J442" s="15">
        <f t="shared" ref="J442" si="1348">IF((I442="x"),-10,0)</f>
        <v>0</v>
      </c>
      <c r="K442" s="14"/>
      <c r="L442" s="15">
        <f t="shared" ref="L442" si="1349">IF((K442="x"),-20,0)</f>
        <v>0</v>
      </c>
      <c r="M442" s="14"/>
      <c r="N442" s="15">
        <f t="shared" ref="N442" si="1350">IF((M442="x"),-30,0)</f>
        <v>0</v>
      </c>
      <c r="O442" s="16">
        <f t="shared" si="1332"/>
        <v>10</v>
      </c>
      <c r="P442" s="16">
        <f t="shared" si="1333"/>
        <v>10</v>
      </c>
      <c r="Q442" s="16">
        <f t="shared" si="1334"/>
        <v>-10</v>
      </c>
      <c r="R442" s="14"/>
      <c r="S442" s="15">
        <f t="shared" ref="S442" si="1351">R442*10</f>
        <v>0</v>
      </c>
      <c r="T442" s="14"/>
      <c r="U442" s="15">
        <f t="shared" ref="U442" si="1352">T442*-15</f>
        <v>0</v>
      </c>
      <c r="V442" s="16">
        <f t="shared" ref="V442" si="1353">IF(AND(R442=2),10,IF(R442=3,30,IF(R442=4,50,IF(R442=5,70,0))))</f>
        <v>0</v>
      </c>
      <c r="W442" s="17">
        <f t="shared" ref="W442" si="1354">IF(G442="x",H442+J442+L442+N442+O442+P442+Q442+S442+U442+V442,0)</f>
        <v>0</v>
      </c>
    </row>
    <row r="443" spans="1:23" ht="10.5" hidden="1" customHeight="1" x14ac:dyDescent="0.2">
      <c r="A443" s="11"/>
      <c r="B443" s="149">
        <f>COUNTA(Spieltag!K430:AA430)</f>
        <v>0</v>
      </c>
      <c r="C443" s="166">
        <f>Spieltag!A430</f>
        <v>27</v>
      </c>
      <c r="D443" s="21" t="str">
        <f>Spieltag!B430</f>
        <v>Moritz Kwarteng</v>
      </c>
      <c r="E443" s="12" t="str">
        <f>Spieltag!C430</f>
        <v>Mittelfeld</v>
      </c>
      <c r="F443" s="13" t="s">
        <v>317</v>
      </c>
      <c r="G443" s="14"/>
      <c r="H443" s="15">
        <f t="shared" si="1339"/>
        <v>0</v>
      </c>
      <c r="I443" s="14"/>
      <c r="J443" s="15">
        <f t="shared" si="1340"/>
        <v>0</v>
      </c>
      <c r="K443" s="14"/>
      <c r="L443" s="15">
        <f t="shared" si="1341"/>
        <v>0</v>
      </c>
      <c r="M443" s="14"/>
      <c r="N443" s="15">
        <f t="shared" si="1342"/>
        <v>0</v>
      </c>
      <c r="O443" s="16">
        <f t="shared" si="1332"/>
        <v>10</v>
      </c>
      <c r="P443" s="16">
        <f t="shared" si="1333"/>
        <v>10</v>
      </c>
      <c r="Q443" s="16">
        <f t="shared" si="1334"/>
        <v>-10</v>
      </c>
      <c r="R443" s="14"/>
      <c r="S443" s="15">
        <f t="shared" si="1343"/>
        <v>0</v>
      </c>
      <c r="T443" s="14"/>
      <c r="U443" s="15">
        <f t="shared" si="1344"/>
        <v>0</v>
      </c>
      <c r="V443" s="16">
        <f t="shared" si="1345"/>
        <v>0</v>
      </c>
      <c r="W443" s="17">
        <f t="shared" si="1346"/>
        <v>0</v>
      </c>
    </row>
    <row r="444" spans="1:23" ht="10.5" hidden="1" customHeight="1" x14ac:dyDescent="0.2">
      <c r="A444" s="11"/>
      <c r="B444" s="149">
        <f>COUNTA(Spieltag!K431:AA431)</f>
        <v>0</v>
      </c>
      <c r="C444" s="166">
        <f>Spieltag!A431</f>
        <v>9</v>
      </c>
      <c r="D444" s="21" t="str">
        <f>Spieltag!B431</f>
        <v>Gonçalo Paciênca (A)</v>
      </c>
      <c r="E444" s="12" t="str">
        <f>Spieltag!C431</f>
        <v>Sturm</v>
      </c>
      <c r="F444" s="13" t="s">
        <v>317</v>
      </c>
      <c r="G444" s="14"/>
      <c r="H444" s="15">
        <f>IF(G444="x",10,0)</f>
        <v>0</v>
      </c>
      <c r="I444" s="14"/>
      <c r="J444" s="15">
        <f>IF((I444="x"),-10,0)</f>
        <v>0</v>
      </c>
      <c r="K444" s="14"/>
      <c r="L444" s="15">
        <f>IF((K444="x"),-20,0)</f>
        <v>0</v>
      </c>
      <c r="M444" s="14"/>
      <c r="N444" s="15">
        <f>IF((M444="x"),-30,0)</f>
        <v>0</v>
      </c>
      <c r="O444" s="16">
        <f t="shared" si="1332"/>
        <v>10</v>
      </c>
      <c r="P444" s="16">
        <f t="shared" si="1333"/>
        <v>10</v>
      </c>
      <c r="Q444" s="16">
        <f>IF(($Q$9&lt;&gt;0),$Q$9*-10,5)</f>
        <v>-10</v>
      </c>
      <c r="R444" s="14"/>
      <c r="S444" s="15">
        <f>R444*10</f>
        <v>0</v>
      </c>
      <c r="T444" s="14"/>
      <c r="U444" s="15">
        <f>T444*-15</f>
        <v>0</v>
      </c>
      <c r="V444" s="16">
        <f>IF(AND(R444=2),10,IF(R444=3,30,IF(R444=4,50,IF(R444=5,70,0))))</f>
        <v>0</v>
      </c>
      <c r="W444" s="17">
        <f>IF(G444="x",H444+J444+L444+N444+O444+P444+Q444+S444+U444+V444,0)</f>
        <v>0</v>
      </c>
    </row>
    <row r="445" spans="1:23" ht="10.5" hidden="1" customHeight="1" x14ac:dyDescent="0.2">
      <c r="A445" s="11"/>
      <c r="B445" s="149">
        <f>COUNTA(Spieltag!K432:AA432)</f>
        <v>0</v>
      </c>
      <c r="C445" s="166">
        <f>Spieltag!A432</f>
        <v>11</v>
      </c>
      <c r="D445" s="21" t="str">
        <f>Spieltag!B432</f>
        <v>Takuma Asano (A)</v>
      </c>
      <c r="E445" s="12" t="str">
        <f>Spieltag!C432</f>
        <v>Sturm</v>
      </c>
      <c r="F445" s="13" t="s">
        <v>317</v>
      </c>
      <c r="G445" s="14"/>
      <c r="H445" s="15">
        <f t="shared" ref="H445:H448" si="1355">IF(G445="x",10,0)</f>
        <v>0</v>
      </c>
      <c r="I445" s="14"/>
      <c r="J445" s="15">
        <f t="shared" ref="J445:J448" si="1356">IF((I445="x"),-10,0)</f>
        <v>0</v>
      </c>
      <c r="K445" s="14"/>
      <c r="L445" s="15">
        <f t="shared" ref="L445:L448" si="1357">IF((K445="x"),-20,0)</f>
        <v>0</v>
      </c>
      <c r="M445" s="14"/>
      <c r="N445" s="15">
        <f t="shared" ref="N445:N448" si="1358">IF((M445="x"),-30,0)</f>
        <v>0</v>
      </c>
      <c r="O445" s="16">
        <f t="shared" si="1332"/>
        <v>10</v>
      </c>
      <c r="P445" s="16">
        <f t="shared" si="1333"/>
        <v>10</v>
      </c>
      <c r="Q445" s="16">
        <f t="shared" ref="Q445:Q448" si="1359">IF(($Q$9&lt;&gt;0),$Q$9*-10,5)</f>
        <v>-10</v>
      </c>
      <c r="R445" s="14"/>
      <c r="S445" s="15">
        <f t="shared" ref="S445:S448" si="1360">R445*10</f>
        <v>0</v>
      </c>
      <c r="T445" s="14"/>
      <c r="U445" s="15">
        <f t="shared" ref="U445:U448" si="1361">T445*-15</f>
        <v>0</v>
      </c>
      <c r="V445" s="16">
        <f t="shared" ref="V445:V448" si="1362">IF(AND(R445=2),10,IF(R445=3,30,IF(R445=4,50,IF(R445=5,70,0))))</f>
        <v>0</v>
      </c>
      <c r="W445" s="17">
        <f t="shared" ref="W445:W448" si="1363">IF(G445="x",H445+J445+L445+N445+O445+P445+Q445+S445+U445+V445,0)</f>
        <v>0</v>
      </c>
    </row>
    <row r="446" spans="1:23" ht="10.5" hidden="1" customHeight="1" x14ac:dyDescent="0.2">
      <c r="A446" s="11"/>
      <c r="B446" s="149">
        <f>COUNTA(Spieltag!K433:AA433)</f>
        <v>0</v>
      </c>
      <c r="C446" s="166">
        <f>Spieltag!A433</f>
        <v>22</v>
      </c>
      <c r="D446" s="21" t="str">
        <f>Spieltag!B433</f>
        <v>Christopher Antwi-Adjei</v>
      </c>
      <c r="E446" s="12" t="str">
        <f>Spieltag!C433</f>
        <v>Sturm</v>
      </c>
      <c r="F446" s="13" t="s">
        <v>317</v>
      </c>
      <c r="G446" s="14"/>
      <c r="H446" s="15">
        <f t="shared" ref="H446" si="1364">IF(G446="x",10,0)</f>
        <v>0</v>
      </c>
      <c r="I446" s="14"/>
      <c r="J446" s="15">
        <f t="shared" ref="J446" si="1365">IF((I446="x"),-10,0)</f>
        <v>0</v>
      </c>
      <c r="K446" s="14"/>
      <c r="L446" s="15">
        <f t="shared" ref="L446" si="1366">IF((K446="x"),-20,0)</f>
        <v>0</v>
      </c>
      <c r="M446" s="14"/>
      <c r="N446" s="15">
        <f t="shared" ref="N446" si="1367">IF((M446="x"),-30,0)</f>
        <v>0</v>
      </c>
      <c r="O446" s="16">
        <f t="shared" si="1332"/>
        <v>10</v>
      </c>
      <c r="P446" s="16">
        <f t="shared" si="1333"/>
        <v>10</v>
      </c>
      <c r="Q446" s="16">
        <f t="shared" si="1359"/>
        <v>-10</v>
      </c>
      <c r="R446" s="14"/>
      <c r="S446" s="15">
        <f t="shared" ref="S446" si="1368">R446*10</f>
        <v>0</v>
      </c>
      <c r="T446" s="14"/>
      <c r="U446" s="15">
        <f t="shared" ref="U446" si="1369">T446*-15</f>
        <v>0</v>
      </c>
      <c r="V446" s="16">
        <f t="shared" ref="V446" si="1370">IF(AND(R446=2),10,IF(R446=3,30,IF(R446=4,50,IF(R446=5,70,0))))</f>
        <v>0</v>
      </c>
      <c r="W446" s="17">
        <f t="shared" ref="W446" si="1371">IF(G446="x",H446+J446+L446+N446+O446+P446+Q446+S446+U446+V446,0)</f>
        <v>0</v>
      </c>
    </row>
    <row r="447" spans="1:23" ht="10.5" hidden="1" customHeight="1" x14ac:dyDescent="0.2">
      <c r="A447" s="11"/>
      <c r="B447" s="149">
        <f>COUNTA(Spieltag!K434:AA434)</f>
        <v>0</v>
      </c>
      <c r="C447" s="166">
        <f>Spieltag!A434</f>
        <v>29</v>
      </c>
      <c r="D447" s="21" t="str">
        <f>Spieltag!B434</f>
        <v>Moritz Broschinski</v>
      </c>
      <c r="E447" s="12" t="str">
        <f>Spieltag!C434</f>
        <v>Sturm</v>
      </c>
      <c r="F447" s="13" t="s">
        <v>317</v>
      </c>
      <c r="G447" s="14"/>
      <c r="H447" s="15">
        <f t="shared" si="1355"/>
        <v>0</v>
      </c>
      <c r="I447" s="14"/>
      <c r="J447" s="15">
        <f t="shared" si="1356"/>
        <v>0</v>
      </c>
      <c r="K447" s="14"/>
      <c r="L447" s="15">
        <f t="shared" si="1357"/>
        <v>0</v>
      </c>
      <c r="M447" s="14"/>
      <c r="N447" s="15">
        <f t="shared" si="1358"/>
        <v>0</v>
      </c>
      <c r="O447" s="16">
        <f t="shared" si="1332"/>
        <v>10</v>
      </c>
      <c r="P447" s="16">
        <f t="shared" si="1333"/>
        <v>10</v>
      </c>
      <c r="Q447" s="16">
        <f t="shared" si="1359"/>
        <v>-10</v>
      </c>
      <c r="R447" s="14"/>
      <c r="S447" s="15">
        <f t="shared" si="1360"/>
        <v>0</v>
      </c>
      <c r="T447" s="14"/>
      <c r="U447" s="15">
        <f t="shared" si="1361"/>
        <v>0</v>
      </c>
      <c r="V447" s="16">
        <f t="shared" si="1362"/>
        <v>0</v>
      </c>
      <c r="W447" s="17">
        <f t="shared" si="1363"/>
        <v>0</v>
      </c>
    </row>
    <row r="448" spans="1:23" ht="10.5" hidden="1" customHeight="1" x14ac:dyDescent="0.2">
      <c r="A448" s="11"/>
      <c r="B448" s="149">
        <f>COUNTA(Spieltag!K435:AA435)</f>
        <v>0</v>
      </c>
      <c r="C448" s="166">
        <f>Spieltag!A435</f>
        <v>33</v>
      </c>
      <c r="D448" s="21" t="str">
        <f>Spieltag!B435</f>
        <v>Philipp Hofmann</v>
      </c>
      <c r="E448" s="12" t="str">
        <f>Spieltag!C435</f>
        <v>Sturm</v>
      </c>
      <c r="F448" s="13" t="s">
        <v>317</v>
      </c>
      <c r="G448" s="14"/>
      <c r="H448" s="15">
        <f t="shared" si="1355"/>
        <v>0</v>
      </c>
      <c r="I448" s="14"/>
      <c r="J448" s="15">
        <f t="shared" si="1356"/>
        <v>0</v>
      </c>
      <c r="K448" s="14"/>
      <c r="L448" s="15">
        <f t="shared" si="1357"/>
        <v>0</v>
      </c>
      <c r="M448" s="14"/>
      <c r="N448" s="15">
        <f t="shared" si="1358"/>
        <v>0</v>
      </c>
      <c r="O448" s="16">
        <f t="shared" si="1332"/>
        <v>10</v>
      </c>
      <c r="P448" s="16">
        <f t="shared" si="1333"/>
        <v>10</v>
      </c>
      <c r="Q448" s="16">
        <f t="shared" si="1359"/>
        <v>-10</v>
      </c>
      <c r="R448" s="14"/>
      <c r="S448" s="15">
        <f t="shared" si="1360"/>
        <v>0</v>
      </c>
      <c r="T448" s="14"/>
      <c r="U448" s="15">
        <f t="shared" si="1361"/>
        <v>0</v>
      </c>
      <c r="V448" s="16">
        <f t="shared" si="1362"/>
        <v>0</v>
      </c>
      <c r="W448" s="17">
        <f t="shared" si="1363"/>
        <v>0</v>
      </c>
    </row>
    <row r="449" spans="1:23" s="144" customFormat="1" ht="17.25" hidden="1" thickBot="1" x14ac:dyDescent="0.25">
      <c r="A449" s="142"/>
      <c r="B449" s="143">
        <f>SUM(B450:B476)</f>
        <v>0</v>
      </c>
      <c r="C449" s="158"/>
      <c r="D449" s="234" t="s">
        <v>96</v>
      </c>
      <c r="E449" s="234"/>
      <c r="F449" s="234"/>
      <c r="G449" s="234"/>
      <c r="H449" s="234"/>
      <c r="I449" s="234"/>
      <c r="J449" s="234"/>
      <c r="K449" s="234"/>
      <c r="L449" s="234"/>
      <c r="M449" s="234"/>
      <c r="N449" s="234"/>
      <c r="O449" s="234"/>
      <c r="P449" s="234"/>
      <c r="Q449" s="234"/>
      <c r="R449" s="234"/>
      <c r="S449" s="234"/>
      <c r="T449" s="234"/>
      <c r="U449" s="234"/>
      <c r="V449" s="234"/>
      <c r="W449" s="235"/>
    </row>
    <row r="450" spans="1:23" ht="10.5" hidden="1" customHeight="1" x14ac:dyDescent="0.2">
      <c r="A450" s="11"/>
      <c r="B450" s="149">
        <f>COUNTA(Spieltag!K437:AA437)</f>
        <v>0</v>
      </c>
      <c r="C450" s="166">
        <f>Spieltag!A437</f>
        <v>1</v>
      </c>
      <c r="D450" s="21" t="str">
        <f>Spieltag!B437</f>
        <v>Finn Dahmen</v>
      </c>
      <c r="E450" s="12" t="str">
        <f>Spieltag!C437</f>
        <v>Torwart</v>
      </c>
      <c r="F450" s="13" t="s">
        <v>95</v>
      </c>
      <c r="G450" s="14"/>
      <c r="H450" s="15">
        <f t="shared" ref="H450:H453" si="1372">IF(G450="x",10,0)</f>
        <v>0</v>
      </c>
      <c r="I450" s="14"/>
      <c r="J450" s="15">
        <f t="shared" ref="J450:J453" si="1373">IF((I450="x"),-10,0)</f>
        <v>0</v>
      </c>
      <c r="K450" s="14"/>
      <c r="L450" s="15">
        <f t="shared" ref="L450:L453" si="1374">IF((K450="x"),-20,0)</f>
        <v>0</v>
      </c>
      <c r="M450" s="14"/>
      <c r="N450" s="15">
        <f t="shared" ref="N450:N453" si="1375">IF((M450="x"),-30,0)</f>
        <v>0</v>
      </c>
      <c r="O450" s="16">
        <f t="shared" ref="O450:O472" si="1376">IF(AND($V$7&gt;$W$7),20,IF($V$7=$W$7,10,0))</f>
        <v>10</v>
      </c>
      <c r="P450" s="16">
        <f t="shared" ref="P450:P472" si="1377">IF(($V$7&lt;&gt;0),$V$7*10,-5)</f>
        <v>10</v>
      </c>
      <c r="Q450" s="16">
        <f>IF(($W$7&lt;&gt;0),$W$7*-10,20)</f>
        <v>-10</v>
      </c>
      <c r="R450" s="14"/>
      <c r="S450" s="15">
        <f>R450*20</f>
        <v>0</v>
      </c>
      <c r="T450" s="14"/>
      <c r="U450" s="15">
        <f t="shared" ref="U450:U453" si="1378">T450*-15</f>
        <v>0</v>
      </c>
      <c r="V450" s="16">
        <f t="shared" ref="V450:V453" si="1379">IF(AND(R450=2),10,IF(R450=3,30,IF(R450=4,50,IF(R450=5,70,0))))</f>
        <v>0</v>
      </c>
      <c r="W450" s="17">
        <f t="shared" ref="W450:W453" si="1380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COUNTA(Spieltag!K438:AA438)</f>
        <v>0</v>
      </c>
      <c r="C451" s="166">
        <f>Spieltag!A438</f>
        <v>33</v>
      </c>
      <c r="D451" s="21" t="str">
        <f>Spieltag!B438</f>
        <v>Marcel Lubik (A)</v>
      </c>
      <c r="E451" s="12" t="str">
        <f>Spieltag!C438</f>
        <v>Torwart</v>
      </c>
      <c r="F451" s="13" t="s">
        <v>95</v>
      </c>
      <c r="G451" s="14"/>
      <c r="H451" s="15">
        <f t="shared" ref="H451:H452" si="1381">IF(G451="x",10,0)</f>
        <v>0</v>
      </c>
      <c r="I451" s="14"/>
      <c r="J451" s="15">
        <f t="shared" ref="J451:J452" si="1382">IF((I451="x"),-10,0)</f>
        <v>0</v>
      </c>
      <c r="K451" s="14"/>
      <c r="L451" s="15">
        <f t="shared" ref="L451:L452" si="1383">IF((K451="x"),-20,0)</f>
        <v>0</v>
      </c>
      <c r="M451" s="14"/>
      <c r="N451" s="15">
        <f t="shared" ref="N451:N452" si="1384">IF((M451="x"),-30,0)</f>
        <v>0</v>
      </c>
      <c r="O451" s="16">
        <f t="shared" si="1376"/>
        <v>10</v>
      </c>
      <c r="P451" s="16">
        <f t="shared" si="1377"/>
        <v>10</v>
      </c>
      <c r="Q451" s="16">
        <f t="shared" ref="Q451:Q452" si="1385">IF(($W$7&lt;&gt;0),$W$7*-10,20)</f>
        <v>-10</v>
      </c>
      <c r="R451" s="14"/>
      <c r="S451" s="15">
        <f t="shared" ref="S451:S452" si="1386">R451*20</f>
        <v>0</v>
      </c>
      <c r="T451" s="14"/>
      <c r="U451" s="15">
        <f t="shared" ref="U451:U452" si="1387">T451*-15</f>
        <v>0</v>
      </c>
      <c r="V451" s="16">
        <f t="shared" ref="V451:V452" si="1388">IF(AND(R451=2),10,IF(R451=3,30,IF(R451=4,50,IF(R451=5,70,0))))</f>
        <v>0</v>
      </c>
      <c r="W451" s="17">
        <f t="shared" ref="W451:W452" si="1389">IF(G451="x",H451+J451+L451+N451+O451+P451+Q451+S451+U451+V451,0)</f>
        <v>0</v>
      </c>
    </row>
    <row r="452" spans="1:23" ht="10.5" hidden="1" customHeight="1" x14ac:dyDescent="0.2">
      <c r="A452" s="11"/>
      <c r="B452" s="149">
        <f>COUNTA(Spieltag!K439:AA439)</f>
        <v>0</v>
      </c>
      <c r="C452" s="166">
        <f>Spieltag!A439</f>
        <v>40</v>
      </c>
      <c r="D452" s="21" t="str">
        <f>Spieltag!B439</f>
        <v>Tomáš Koubek (A)</v>
      </c>
      <c r="E452" s="12" t="str">
        <f>Spieltag!C439</f>
        <v>Torwart</v>
      </c>
      <c r="F452" s="13" t="s">
        <v>95</v>
      </c>
      <c r="G452" s="14"/>
      <c r="H452" s="15">
        <f t="shared" si="1381"/>
        <v>0</v>
      </c>
      <c r="I452" s="14"/>
      <c r="J452" s="15">
        <f t="shared" si="1382"/>
        <v>0</v>
      </c>
      <c r="K452" s="14"/>
      <c r="L452" s="15">
        <f t="shared" si="1383"/>
        <v>0</v>
      </c>
      <c r="M452" s="14"/>
      <c r="N452" s="15">
        <f t="shared" si="1384"/>
        <v>0</v>
      </c>
      <c r="O452" s="16">
        <f t="shared" si="1376"/>
        <v>10</v>
      </c>
      <c r="P452" s="16">
        <f t="shared" si="1377"/>
        <v>10</v>
      </c>
      <c r="Q452" s="16">
        <f t="shared" si="1385"/>
        <v>-10</v>
      </c>
      <c r="R452" s="14"/>
      <c r="S452" s="15">
        <f t="shared" si="1386"/>
        <v>0</v>
      </c>
      <c r="T452" s="14"/>
      <c r="U452" s="15">
        <f t="shared" si="1387"/>
        <v>0</v>
      </c>
      <c r="V452" s="16">
        <f t="shared" si="1388"/>
        <v>0</v>
      </c>
      <c r="W452" s="17">
        <f t="shared" si="1389"/>
        <v>0</v>
      </c>
    </row>
    <row r="453" spans="1:23" ht="10.5" hidden="1" customHeight="1" x14ac:dyDescent="0.2">
      <c r="A453" s="11"/>
      <c r="B453" s="149">
        <f>COUNTA(Spieltag!K440:AA440)</f>
        <v>0</v>
      </c>
      <c r="C453" s="166">
        <f>Spieltag!A440</f>
        <v>2</v>
      </c>
      <c r="D453" s="21" t="str">
        <f>Spieltag!B440</f>
        <v>Robert Gumny (A)</v>
      </c>
      <c r="E453" s="12" t="str">
        <f>Spieltag!C440</f>
        <v>Abwehr</v>
      </c>
      <c r="F453" s="13" t="s">
        <v>95</v>
      </c>
      <c r="G453" s="14"/>
      <c r="H453" s="15">
        <f t="shared" si="1372"/>
        <v>0</v>
      </c>
      <c r="I453" s="14"/>
      <c r="J453" s="15">
        <f t="shared" si="1373"/>
        <v>0</v>
      </c>
      <c r="K453" s="14"/>
      <c r="L453" s="15">
        <f t="shared" si="1374"/>
        <v>0</v>
      </c>
      <c r="M453" s="14"/>
      <c r="N453" s="15">
        <f t="shared" si="1375"/>
        <v>0</v>
      </c>
      <c r="O453" s="16">
        <f t="shared" si="1376"/>
        <v>10</v>
      </c>
      <c r="P453" s="16">
        <f t="shared" si="1377"/>
        <v>10</v>
      </c>
      <c r="Q453" s="16">
        <f t="shared" ref="Q453:Q462" si="1390">IF(($W$7&lt;&gt;0),$W$7*-10,15)</f>
        <v>-10</v>
      </c>
      <c r="R453" s="14"/>
      <c r="S453" s="15">
        <f>R453*15</f>
        <v>0</v>
      </c>
      <c r="T453" s="14"/>
      <c r="U453" s="15">
        <f t="shared" si="1378"/>
        <v>0</v>
      </c>
      <c r="V453" s="16">
        <f t="shared" si="1379"/>
        <v>0</v>
      </c>
      <c r="W453" s="17">
        <f t="shared" si="1380"/>
        <v>0</v>
      </c>
    </row>
    <row r="454" spans="1:23" ht="10.5" hidden="1" customHeight="1" x14ac:dyDescent="0.2">
      <c r="A454" s="11"/>
      <c r="B454" s="149">
        <f>COUNTA(Spieltag!K441:AA441)</f>
        <v>0</v>
      </c>
      <c r="C454" s="166">
        <f>Spieltag!A441</f>
        <v>3</v>
      </c>
      <c r="D454" s="21" t="str">
        <f>Spieltag!B441</f>
        <v>Mads Pedersen (A)</v>
      </c>
      <c r="E454" s="12" t="str">
        <f>Spieltag!C441</f>
        <v>Abwehr</v>
      </c>
      <c r="F454" s="13" t="s">
        <v>95</v>
      </c>
      <c r="G454" s="14"/>
      <c r="H454" s="15">
        <f t="shared" ref="H454:H462" si="1391">IF(G454="x",10,0)</f>
        <v>0</v>
      </c>
      <c r="I454" s="14"/>
      <c r="J454" s="15">
        <f t="shared" ref="J454:J462" si="1392">IF((I454="x"),-10,0)</f>
        <v>0</v>
      </c>
      <c r="K454" s="14"/>
      <c r="L454" s="15">
        <f t="shared" ref="L454:L462" si="1393">IF((K454="x"),-20,0)</f>
        <v>0</v>
      </c>
      <c r="M454" s="14"/>
      <c r="N454" s="15">
        <f t="shared" ref="N454:N462" si="1394">IF((M454="x"),-30,0)</f>
        <v>0</v>
      </c>
      <c r="O454" s="16">
        <f t="shared" si="1376"/>
        <v>10</v>
      </c>
      <c r="P454" s="16">
        <f t="shared" si="1377"/>
        <v>10</v>
      </c>
      <c r="Q454" s="16">
        <f t="shared" si="1390"/>
        <v>-10</v>
      </c>
      <c r="R454" s="14"/>
      <c r="S454" s="15">
        <f t="shared" ref="S454:S462" si="1395">R454*15</f>
        <v>0</v>
      </c>
      <c r="T454" s="14"/>
      <c r="U454" s="15">
        <f t="shared" ref="U454:U462" si="1396">T454*-15</f>
        <v>0</v>
      </c>
      <c r="V454" s="16">
        <f t="shared" ref="V454:V462" si="1397">IF(AND(R454=2),10,IF(R454=3,30,IF(R454=4,50,IF(R454=5,70,0))))</f>
        <v>0</v>
      </c>
      <c r="W454" s="17">
        <f t="shared" ref="W454:W462" si="1398">IF(G454="x",H454+J454+L454+N454+O454+P454+Q454+S454+U454+V454,0)</f>
        <v>0</v>
      </c>
    </row>
    <row r="455" spans="1:23" ht="10.5" hidden="1" customHeight="1" x14ac:dyDescent="0.2">
      <c r="A455" s="11"/>
      <c r="B455" s="149">
        <f>COUNTA(Spieltag!K442:AA442)</f>
        <v>0</v>
      </c>
      <c r="C455" s="166">
        <f>Spieltag!A442</f>
        <v>4</v>
      </c>
      <c r="D455" s="21" t="str">
        <f>Spieltag!B442</f>
        <v>Reece Oxford (A)</v>
      </c>
      <c r="E455" s="12" t="str">
        <f>Spieltag!C442</f>
        <v>Abwehr</v>
      </c>
      <c r="F455" s="13" t="s">
        <v>95</v>
      </c>
      <c r="G455" s="14"/>
      <c r="H455" s="15">
        <f t="shared" si="1391"/>
        <v>0</v>
      </c>
      <c r="I455" s="14"/>
      <c r="J455" s="15">
        <f t="shared" si="1392"/>
        <v>0</v>
      </c>
      <c r="K455" s="14"/>
      <c r="L455" s="15">
        <f t="shared" si="1393"/>
        <v>0</v>
      </c>
      <c r="M455" s="14"/>
      <c r="N455" s="15">
        <f t="shared" si="1394"/>
        <v>0</v>
      </c>
      <c r="O455" s="16">
        <f t="shared" si="1376"/>
        <v>10</v>
      </c>
      <c r="P455" s="16">
        <f t="shared" si="1377"/>
        <v>10</v>
      </c>
      <c r="Q455" s="16">
        <f t="shared" si="1390"/>
        <v>-10</v>
      </c>
      <c r="R455" s="14"/>
      <c r="S455" s="15">
        <f t="shared" si="1395"/>
        <v>0</v>
      </c>
      <c r="T455" s="14"/>
      <c r="U455" s="15">
        <f t="shared" si="1396"/>
        <v>0</v>
      </c>
      <c r="V455" s="16">
        <f t="shared" si="1397"/>
        <v>0</v>
      </c>
      <c r="W455" s="17">
        <f t="shared" si="1398"/>
        <v>0</v>
      </c>
    </row>
    <row r="456" spans="1:23" ht="10.5" hidden="1" customHeight="1" x14ac:dyDescent="0.2">
      <c r="A456" s="11"/>
      <c r="B456" s="149">
        <f>COUNTA(Spieltag!K443:AA443)</f>
        <v>0</v>
      </c>
      <c r="C456" s="166">
        <f>Spieltag!A443</f>
        <v>5</v>
      </c>
      <c r="D456" s="21" t="str">
        <f>Spieltag!B443</f>
        <v>Patric Pfeiffer</v>
      </c>
      <c r="E456" s="12" t="str">
        <f>Spieltag!C443</f>
        <v>Abwehr</v>
      </c>
      <c r="F456" s="13" t="s">
        <v>95</v>
      </c>
      <c r="G456" s="14"/>
      <c r="H456" s="15">
        <f t="shared" si="1391"/>
        <v>0</v>
      </c>
      <c r="I456" s="14"/>
      <c r="J456" s="15">
        <f t="shared" si="1392"/>
        <v>0</v>
      </c>
      <c r="K456" s="14"/>
      <c r="L456" s="15">
        <f t="shared" si="1393"/>
        <v>0</v>
      </c>
      <c r="M456" s="14"/>
      <c r="N456" s="15">
        <f t="shared" si="1394"/>
        <v>0</v>
      </c>
      <c r="O456" s="16">
        <f t="shared" si="1376"/>
        <v>10</v>
      </c>
      <c r="P456" s="16">
        <f t="shared" si="1377"/>
        <v>10</v>
      </c>
      <c r="Q456" s="16">
        <f t="shared" si="1390"/>
        <v>-10</v>
      </c>
      <c r="R456" s="14"/>
      <c r="S456" s="15">
        <f t="shared" si="1395"/>
        <v>0</v>
      </c>
      <c r="T456" s="14"/>
      <c r="U456" s="15">
        <f t="shared" si="1396"/>
        <v>0</v>
      </c>
      <c r="V456" s="16">
        <f t="shared" si="1397"/>
        <v>0</v>
      </c>
      <c r="W456" s="17">
        <f t="shared" si="1398"/>
        <v>0</v>
      </c>
    </row>
    <row r="457" spans="1:23" ht="10.5" hidden="1" customHeight="1" x14ac:dyDescent="0.2">
      <c r="A457" s="11"/>
      <c r="B457" s="149">
        <f>COUNTA(Spieltag!K444:AA444)</f>
        <v>0</v>
      </c>
      <c r="C457" s="166">
        <f>Spieltag!A444</f>
        <v>6</v>
      </c>
      <c r="D457" s="21" t="str">
        <f>Spieltag!B444</f>
        <v>Jeffrey Gouweleeuw (A)</v>
      </c>
      <c r="E457" s="12" t="str">
        <f>Spieltag!C444</f>
        <v>Abwehr</v>
      </c>
      <c r="F457" s="13" t="s">
        <v>95</v>
      </c>
      <c r="G457" s="14"/>
      <c r="H457" s="15">
        <f t="shared" si="1391"/>
        <v>0</v>
      </c>
      <c r="I457" s="14"/>
      <c r="J457" s="15">
        <f t="shared" si="1392"/>
        <v>0</v>
      </c>
      <c r="K457" s="14"/>
      <c r="L457" s="15">
        <f t="shared" si="1393"/>
        <v>0</v>
      </c>
      <c r="M457" s="14"/>
      <c r="N457" s="15">
        <f t="shared" si="1394"/>
        <v>0</v>
      </c>
      <c r="O457" s="16">
        <f t="shared" si="1376"/>
        <v>10</v>
      </c>
      <c r="P457" s="16">
        <f t="shared" si="1377"/>
        <v>10</v>
      </c>
      <c r="Q457" s="16">
        <f t="shared" si="1390"/>
        <v>-10</v>
      </c>
      <c r="R457" s="14"/>
      <c r="S457" s="15">
        <f t="shared" si="1395"/>
        <v>0</v>
      </c>
      <c r="T457" s="14"/>
      <c r="U457" s="15">
        <f t="shared" si="1396"/>
        <v>0</v>
      </c>
      <c r="V457" s="16">
        <f t="shared" si="1397"/>
        <v>0</v>
      </c>
      <c r="W457" s="17">
        <f t="shared" si="1398"/>
        <v>0</v>
      </c>
    </row>
    <row r="458" spans="1:23" ht="10.5" hidden="1" customHeight="1" x14ac:dyDescent="0.2">
      <c r="A458" s="11"/>
      <c r="B458" s="149">
        <f>COUNTA(Spieltag!K445:AA445)</f>
        <v>0</v>
      </c>
      <c r="C458" s="166">
        <f>Spieltag!A445</f>
        <v>19</v>
      </c>
      <c r="D458" s="21" t="str">
        <f>Spieltag!B445</f>
        <v>Felix Uduokhai</v>
      </c>
      <c r="E458" s="12" t="str">
        <f>Spieltag!C445</f>
        <v>Abwehr</v>
      </c>
      <c r="F458" s="13" t="s">
        <v>95</v>
      </c>
      <c r="G458" s="14"/>
      <c r="H458" s="15">
        <f t="shared" si="1391"/>
        <v>0</v>
      </c>
      <c r="I458" s="14"/>
      <c r="J458" s="15">
        <f t="shared" si="1392"/>
        <v>0</v>
      </c>
      <c r="K458" s="14"/>
      <c r="L458" s="15">
        <f t="shared" si="1393"/>
        <v>0</v>
      </c>
      <c r="M458" s="14"/>
      <c r="N458" s="15">
        <f t="shared" si="1394"/>
        <v>0</v>
      </c>
      <c r="O458" s="16">
        <f t="shared" si="1376"/>
        <v>10</v>
      </c>
      <c r="P458" s="16">
        <f t="shared" si="1377"/>
        <v>10</v>
      </c>
      <c r="Q458" s="16">
        <f t="shared" si="1390"/>
        <v>-10</v>
      </c>
      <c r="R458" s="14"/>
      <c r="S458" s="15">
        <f t="shared" si="1395"/>
        <v>0</v>
      </c>
      <c r="T458" s="14"/>
      <c r="U458" s="15">
        <f t="shared" si="1396"/>
        <v>0</v>
      </c>
      <c r="V458" s="16">
        <f t="shared" si="1397"/>
        <v>0</v>
      </c>
      <c r="W458" s="17">
        <f t="shared" si="1398"/>
        <v>0</v>
      </c>
    </row>
    <row r="459" spans="1:23" ht="10.5" hidden="1" customHeight="1" x14ac:dyDescent="0.2">
      <c r="A459" s="11"/>
      <c r="B459" s="149">
        <f>COUNTA(Spieltag!K446:AA446)</f>
        <v>0</v>
      </c>
      <c r="C459" s="166">
        <f>Spieltag!A446</f>
        <v>22</v>
      </c>
      <c r="D459" s="21" t="str">
        <f>Spieltag!B446</f>
        <v>Iago (A)</v>
      </c>
      <c r="E459" s="12" t="str">
        <f>Spieltag!C446</f>
        <v>Abwehr</v>
      </c>
      <c r="F459" s="13" t="s">
        <v>95</v>
      </c>
      <c r="G459" s="14"/>
      <c r="H459" s="15">
        <f t="shared" si="1391"/>
        <v>0</v>
      </c>
      <c r="I459" s="14"/>
      <c r="J459" s="15">
        <f t="shared" si="1392"/>
        <v>0</v>
      </c>
      <c r="K459" s="14"/>
      <c r="L459" s="15">
        <f t="shared" si="1393"/>
        <v>0</v>
      </c>
      <c r="M459" s="14"/>
      <c r="N459" s="15">
        <f t="shared" si="1394"/>
        <v>0</v>
      </c>
      <c r="O459" s="16">
        <f t="shared" si="1376"/>
        <v>10</v>
      </c>
      <c r="P459" s="16">
        <f t="shared" si="1377"/>
        <v>10</v>
      </c>
      <c r="Q459" s="16">
        <f t="shared" si="1390"/>
        <v>-10</v>
      </c>
      <c r="R459" s="14"/>
      <c r="S459" s="15">
        <f t="shared" si="1395"/>
        <v>0</v>
      </c>
      <c r="T459" s="14"/>
      <c r="U459" s="15">
        <f t="shared" si="1396"/>
        <v>0</v>
      </c>
      <c r="V459" s="16">
        <f t="shared" si="1397"/>
        <v>0</v>
      </c>
      <c r="W459" s="17">
        <f t="shared" si="1398"/>
        <v>0</v>
      </c>
    </row>
    <row r="460" spans="1:23" ht="10.5" hidden="1" customHeight="1" x14ac:dyDescent="0.2">
      <c r="A460" s="11"/>
      <c r="B460" s="149">
        <f>COUNTA(Spieltag!K447:AA447)</f>
        <v>0</v>
      </c>
      <c r="C460" s="166">
        <f>Spieltag!A447</f>
        <v>23</v>
      </c>
      <c r="D460" s="21" t="str">
        <f>Spieltag!B447</f>
        <v>Maximilian Bauer</v>
      </c>
      <c r="E460" s="12" t="str">
        <f>Spieltag!C447</f>
        <v>Abwehr</v>
      </c>
      <c r="F460" s="13" t="s">
        <v>95</v>
      </c>
      <c r="G460" s="14"/>
      <c r="H460" s="15">
        <f t="shared" si="1391"/>
        <v>0</v>
      </c>
      <c r="I460" s="14"/>
      <c r="J460" s="15">
        <f t="shared" si="1392"/>
        <v>0</v>
      </c>
      <c r="K460" s="14"/>
      <c r="L460" s="15">
        <f t="shared" si="1393"/>
        <v>0</v>
      </c>
      <c r="M460" s="14"/>
      <c r="N460" s="15">
        <f t="shared" si="1394"/>
        <v>0</v>
      </c>
      <c r="O460" s="16">
        <f t="shared" si="1376"/>
        <v>10</v>
      </c>
      <c r="P460" s="16">
        <f t="shared" si="1377"/>
        <v>10</v>
      </c>
      <c r="Q460" s="16">
        <f t="shared" si="1390"/>
        <v>-10</v>
      </c>
      <c r="R460" s="14"/>
      <c r="S460" s="15">
        <f t="shared" si="1395"/>
        <v>0</v>
      </c>
      <c r="T460" s="14"/>
      <c r="U460" s="15">
        <f t="shared" si="1396"/>
        <v>0</v>
      </c>
      <c r="V460" s="16">
        <f t="shared" si="1397"/>
        <v>0</v>
      </c>
      <c r="W460" s="17">
        <f t="shared" si="1398"/>
        <v>0</v>
      </c>
    </row>
    <row r="461" spans="1:23" ht="10.5" hidden="1" customHeight="1" x14ac:dyDescent="0.2">
      <c r="A461" s="11"/>
      <c r="B461" s="149">
        <f>COUNTA(Spieltag!K448:AA448)</f>
        <v>0</v>
      </c>
      <c r="C461" s="166">
        <f>Spieltag!A448</f>
        <v>32</v>
      </c>
      <c r="D461" s="21" t="str">
        <f>Spieltag!B448</f>
        <v>Raphael Framberger</v>
      </c>
      <c r="E461" s="12" t="str">
        <f>Spieltag!C448</f>
        <v>Abwehr</v>
      </c>
      <c r="F461" s="13" t="s">
        <v>95</v>
      </c>
      <c r="G461" s="14"/>
      <c r="H461" s="15">
        <f t="shared" si="1391"/>
        <v>0</v>
      </c>
      <c r="I461" s="14"/>
      <c r="J461" s="15">
        <f t="shared" si="1392"/>
        <v>0</v>
      </c>
      <c r="K461" s="14"/>
      <c r="L461" s="15">
        <f t="shared" si="1393"/>
        <v>0</v>
      </c>
      <c r="M461" s="14"/>
      <c r="N461" s="15">
        <f t="shared" si="1394"/>
        <v>0</v>
      </c>
      <c r="O461" s="16">
        <f t="shared" si="1376"/>
        <v>10</v>
      </c>
      <c r="P461" s="16">
        <f t="shared" si="1377"/>
        <v>10</v>
      </c>
      <c r="Q461" s="16">
        <f t="shared" si="1390"/>
        <v>-10</v>
      </c>
      <c r="R461" s="14"/>
      <c r="S461" s="15">
        <f t="shared" si="1395"/>
        <v>0</v>
      </c>
      <c r="T461" s="14"/>
      <c r="U461" s="15">
        <f t="shared" si="1396"/>
        <v>0</v>
      </c>
      <c r="V461" s="16">
        <f t="shared" si="1397"/>
        <v>0</v>
      </c>
      <c r="W461" s="17">
        <f t="shared" si="1398"/>
        <v>0</v>
      </c>
    </row>
    <row r="462" spans="1:23" ht="10.5" hidden="1" customHeight="1" x14ac:dyDescent="0.2">
      <c r="A462" s="11"/>
      <c r="B462" s="149">
        <f>COUNTA(Spieltag!K449:AA449)</f>
        <v>0</v>
      </c>
      <c r="C462" s="166">
        <f>Spieltag!A449</f>
        <v>43</v>
      </c>
      <c r="D462" s="21" t="str">
        <f>Spieltag!B449</f>
        <v>Kevin Mbabu (A)</v>
      </c>
      <c r="E462" s="12" t="str">
        <f>Spieltag!C449</f>
        <v>Abwehr</v>
      </c>
      <c r="F462" s="13" t="s">
        <v>95</v>
      </c>
      <c r="G462" s="14"/>
      <c r="H462" s="15">
        <f t="shared" si="1391"/>
        <v>0</v>
      </c>
      <c r="I462" s="14"/>
      <c r="J462" s="15">
        <f t="shared" si="1392"/>
        <v>0</v>
      </c>
      <c r="K462" s="14"/>
      <c r="L462" s="15">
        <f t="shared" si="1393"/>
        <v>0</v>
      </c>
      <c r="M462" s="14"/>
      <c r="N462" s="15">
        <f t="shared" si="1394"/>
        <v>0</v>
      </c>
      <c r="O462" s="16">
        <f t="shared" si="1376"/>
        <v>10</v>
      </c>
      <c r="P462" s="16">
        <f t="shared" si="1377"/>
        <v>10</v>
      </c>
      <c r="Q462" s="16">
        <f t="shared" si="1390"/>
        <v>-10</v>
      </c>
      <c r="R462" s="14"/>
      <c r="S462" s="15">
        <f t="shared" si="1395"/>
        <v>0</v>
      </c>
      <c r="T462" s="14"/>
      <c r="U462" s="15">
        <f t="shared" si="1396"/>
        <v>0</v>
      </c>
      <c r="V462" s="16">
        <f t="shared" si="1397"/>
        <v>0</v>
      </c>
      <c r="W462" s="17">
        <f t="shared" si="1398"/>
        <v>0</v>
      </c>
    </row>
    <row r="463" spans="1:23" ht="10.5" hidden="1" customHeight="1" x14ac:dyDescent="0.2">
      <c r="A463" s="11"/>
      <c r="B463" s="149">
        <f>COUNTA(Spieltag!K450:AA450)</f>
        <v>0</v>
      </c>
      <c r="C463" s="166">
        <f>Spieltag!A450</f>
        <v>8</v>
      </c>
      <c r="D463" s="21" t="str">
        <f>Spieltag!B450</f>
        <v>Elvis Rexhbecaj</v>
      </c>
      <c r="E463" s="12" t="str">
        <f>Spieltag!C450</f>
        <v>Mittelfeld</v>
      </c>
      <c r="F463" s="13" t="s">
        <v>95</v>
      </c>
      <c r="G463" s="14"/>
      <c r="H463" s="15">
        <f>IF(G463="x",10,0)</f>
        <v>0</v>
      </c>
      <c r="I463" s="14"/>
      <c r="J463" s="15">
        <f>IF((I463="x"),-10,0)</f>
        <v>0</v>
      </c>
      <c r="K463" s="14"/>
      <c r="L463" s="15">
        <f>IF((K463="x"),-20,0)</f>
        <v>0</v>
      </c>
      <c r="M463" s="14"/>
      <c r="N463" s="15">
        <f>IF((M463="x"),-30,0)</f>
        <v>0</v>
      </c>
      <c r="O463" s="16">
        <f t="shared" si="1376"/>
        <v>10</v>
      </c>
      <c r="P463" s="16">
        <f t="shared" si="1377"/>
        <v>10</v>
      </c>
      <c r="Q463" s="16">
        <f t="shared" ref="Q463:Q472" si="1399">IF(($W$7&lt;&gt;0),$W$7*-10,10)</f>
        <v>-10</v>
      </c>
      <c r="R463" s="14"/>
      <c r="S463" s="15">
        <f>R463*10</f>
        <v>0</v>
      </c>
      <c r="T463" s="14"/>
      <c r="U463" s="15">
        <f>T463*-15</f>
        <v>0</v>
      </c>
      <c r="V463" s="16">
        <f>IF(AND(R463=2),10,IF(R463=3,30,IF(R463=4,50,IF(R463=5,70,0))))</f>
        <v>0</v>
      </c>
      <c r="W463" s="17">
        <f>IF(G463="x",H463+J463+L463+N463+O463+P463+Q463+S463+U463+V463,0)</f>
        <v>0</v>
      </c>
    </row>
    <row r="464" spans="1:23" ht="10.5" hidden="1" customHeight="1" x14ac:dyDescent="0.2">
      <c r="A464" s="11"/>
      <c r="B464" s="149">
        <f>COUNTA(Spieltag!K451:AA451)</f>
        <v>0</v>
      </c>
      <c r="C464" s="166">
        <f>Spieltag!A451</f>
        <v>10</v>
      </c>
      <c r="D464" s="21" t="str">
        <f>Spieltag!B451</f>
        <v>Arne Maier</v>
      </c>
      <c r="E464" s="12" t="str">
        <f>Spieltag!C451</f>
        <v>Mittelfeld</v>
      </c>
      <c r="F464" s="13" t="s">
        <v>95</v>
      </c>
      <c r="G464" s="14"/>
      <c r="H464" s="15">
        <f t="shared" ref="H464:H472" si="1400">IF(G464="x",10,0)</f>
        <v>0</v>
      </c>
      <c r="I464" s="14"/>
      <c r="J464" s="15">
        <f t="shared" ref="J464:J472" si="1401">IF((I464="x"),-10,0)</f>
        <v>0</v>
      </c>
      <c r="K464" s="14"/>
      <c r="L464" s="15">
        <f t="shared" ref="L464:L472" si="1402">IF((K464="x"),-20,0)</f>
        <v>0</v>
      </c>
      <c r="M464" s="14"/>
      <c r="N464" s="15">
        <f t="shared" ref="N464:N472" si="1403">IF((M464="x"),-30,0)</f>
        <v>0</v>
      </c>
      <c r="O464" s="16">
        <f t="shared" si="1376"/>
        <v>10</v>
      </c>
      <c r="P464" s="16">
        <f t="shared" si="1377"/>
        <v>10</v>
      </c>
      <c r="Q464" s="16">
        <f t="shared" si="1399"/>
        <v>-10</v>
      </c>
      <c r="R464" s="14"/>
      <c r="S464" s="15">
        <f t="shared" ref="S464:S472" si="1404">R464*10</f>
        <v>0</v>
      </c>
      <c r="T464" s="14"/>
      <c r="U464" s="15">
        <f t="shared" ref="U464:U472" si="1405">T464*-15</f>
        <v>0</v>
      </c>
      <c r="V464" s="16">
        <f t="shared" ref="V464:V472" si="1406">IF(AND(R464=2),10,IF(R464=3,30,IF(R464=4,50,IF(R464=5,70,0))))</f>
        <v>0</v>
      </c>
      <c r="W464" s="17">
        <f t="shared" ref="W464:W472" si="1407">IF(G464="x",H464+J464+L464+N464+O464+P464+Q464+S464+U464+V464,0)</f>
        <v>0</v>
      </c>
    </row>
    <row r="465" spans="1:23" ht="10.5" hidden="1" customHeight="1" x14ac:dyDescent="0.2">
      <c r="A465" s="11"/>
      <c r="B465" s="149">
        <f>COUNTA(Spieltag!K452:AA452)</f>
        <v>0</v>
      </c>
      <c r="C465" s="166">
        <f>Spieltag!A452</f>
        <v>14</v>
      </c>
      <c r="D465" s="21" t="str">
        <f>Spieltag!B452</f>
        <v>Masaya Okugawa (A)</v>
      </c>
      <c r="E465" s="12" t="str">
        <f>Spieltag!C452</f>
        <v>Mittelfeld</v>
      </c>
      <c r="F465" s="13" t="s">
        <v>95</v>
      </c>
      <c r="G465" s="14"/>
      <c r="H465" s="15">
        <f t="shared" si="1400"/>
        <v>0</v>
      </c>
      <c r="I465" s="14"/>
      <c r="J465" s="15">
        <f t="shared" si="1401"/>
        <v>0</v>
      </c>
      <c r="K465" s="14"/>
      <c r="L465" s="15">
        <f t="shared" si="1402"/>
        <v>0</v>
      </c>
      <c r="M465" s="14"/>
      <c r="N465" s="15">
        <f t="shared" si="1403"/>
        <v>0</v>
      </c>
      <c r="O465" s="16">
        <f t="shared" si="1376"/>
        <v>10</v>
      </c>
      <c r="P465" s="16">
        <f t="shared" si="1377"/>
        <v>10</v>
      </c>
      <c r="Q465" s="16">
        <f t="shared" si="1399"/>
        <v>-10</v>
      </c>
      <c r="R465" s="14"/>
      <c r="S465" s="15">
        <f t="shared" si="1404"/>
        <v>0</v>
      </c>
      <c r="T465" s="14"/>
      <c r="U465" s="15">
        <f t="shared" si="1405"/>
        <v>0</v>
      </c>
      <c r="V465" s="16">
        <f t="shared" si="1406"/>
        <v>0</v>
      </c>
      <c r="W465" s="17">
        <f t="shared" si="1407"/>
        <v>0</v>
      </c>
    </row>
    <row r="466" spans="1:23" ht="10.5" hidden="1" customHeight="1" x14ac:dyDescent="0.2">
      <c r="A466" s="11"/>
      <c r="B466" s="149">
        <f>COUNTA(Spieltag!K453:AA453)</f>
        <v>0</v>
      </c>
      <c r="C466" s="166">
        <f>Spieltag!A453</f>
        <v>16</v>
      </c>
      <c r="D466" s="21" t="str">
        <f>Spieltag!B453</f>
        <v>Ruben Vargas (A)</v>
      </c>
      <c r="E466" s="12" t="str">
        <f>Spieltag!C453</f>
        <v>Mittelfeld</v>
      </c>
      <c r="F466" s="13" t="s">
        <v>95</v>
      </c>
      <c r="G466" s="14"/>
      <c r="H466" s="15">
        <f t="shared" si="1400"/>
        <v>0</v>
      </c>
      <c r="I466" s="14"/>
      <c r="J466" s="15">
        <f t="shared" si="1401"/>
        <v>0</v>
      </c>
      <c r="K466" s="14"/>
      <c r="L466" s="15">
        <f t="shared" si="1402"/>
        <v>0</v>
      </c>
      <c r="M466" s="14"/>
      <c r="N466" s="15">
        <f t="shared" si="1403"/>
        <v>0</v>
      </c>
      <c r="O466" s="16">
        <f t="shared" si="1376"/>
        <v>10</v>
      </c>
      <c r="P466" s="16">
        <f t="shared" si="1377"/>
        <v>10</v>
      </c>
      <c r="Q466" s="16">
        <f t="shared" si="1399"/>
        <v>-10</v>
      </c>
      <c r="R466" s="14"/>
      <c r="S466" s="15">
        <f t="shared" si="1404"/>
        <v>0</v>
      </c>
      <c r="T466" s="14"/>
      <c r="U466" s="15">
        <f t="shared" si="1405"/>
        <v>0</v>
      </c>
      <c r="V466" s="16">
        <f t="shared" si="1406"/>
        <v>0</v>
      </c>
      <c r="W466" s="17">
        <f t="shared" si="1407"/>
        <v>0</v>
      </c>
    </row>
    <row r="467" spans="1:23" ht="10.5" hidden="1" customHeight="1" x14ac:dyDescent="0.2">
      <c r="A467" s="11"/>
      <c r="B467" s="149">
        <f>COUNTA(Spieltag!K454:AA454)</f>
        <v>0</v>
      </c>
      <c r="C467" s="166">
        <f>Spieltag!A454</f>
        <v>17</v>
      </c>
      <c r="D467" s="21" t="str">
        <f>Spieltag!B454</f>
        <v>Kristijan Jakić (A)</v>
      </c>
      <c r="E467" s="12" t="str">
        <f>Spieltag!C454</f>
        <v>Mittelfeld</v>
      </c>
      <c r="F467" s="13" t="s">
        <v>95</v>
      </c>
      <c r="G467" s="14"/>
      <c r="H467" s="15">
        <f t="shared" ref="H467" si="1408">IF(G467="x",10,0)</f>
        <v>0</v>
      </c>
      <c r="I467" s="14"/>
      <c r="J467" s="15">
        <f t="shared" ref="J467" si="1409">IF((I467="x"),-10,0)</f>
        <v>0</v>
      </c>
      <c r="K467" s="14"/>
      <c r="L467" s="15">
        <f t="shared" ref="L467" si="1410">IF((K467="x"),-20,0)</f>
        <v>0</v>
      </c>
      <c r="M467" s="14"/>
      <c r="N467" s="15">
        <f t="shared" ref="N467" si="1411">IF((M467="x"),-30,0)</f>
        <v>0</v>
      </c>
      <c r="O467" s="16">
        <f t="shared" si="1376"/>
        <v>10</v>
      </c>
      <c r="P467" s="16">
        <f t="shared" si="1377"/>
        <v>10</v>
      </c>
      <c r="Q467" s="16">
        <f t="shared" si="1399"/>
        <v>-10</v>
      </c>
      <c r="R467" s="14"/>
      <c r="S467" s="15">
        <f t="shared" ref="S467" si="1412">R467*10</f>
        <v>0</v>
      </c>
      <c r="T467" s="14"/>
      <c r="U467" s="15">
        <f t="shared" ref="U467" si="1413">T467*-15</f>
        <v>0</v>
      </c>
      <c r="V467" s="16">
        <f t="shared" ref="V467" si="1414">IF(AND(R467=2),10,IF(R467=3,30,IF(R467=4,50,IF(R467=5,70,0))))</f>
        <v>0</v>
      </c>
      <c r="W467" s="17">
        <f t="shared" ref="W467" si="1415">IF(G467="x",H467+J467+L467+N467+O467+P467+Q467+S467+U467+V467,0)</f>
        <v>0</v>
      </c>
    </row>
    <row r="468" spans="1:23" ht="10.5" hidden="1" customHeight="1" x14ac:dyDescent="0.2">
      <c r="A468" s="11"/>
      <c r="B468" s="149">
        <f>COUNTA(Spieltag!K455:AA455)</f>
        <v>0</v>
      </c>
      <c r="C468" s="166">
        <f>Spieltag!A455</f>
        <v>18</v>
      </c>
      <c r="D468" s="21" t="str">
        <f>Spieltag!B455</f>
        <v>Tim Breithaupt</v>
      </c>
      <c r="E468" s="12" t="str">
        <f>Spieltag!C455</f>
        <v>Mittelfeld</v>
      </c>
      <c r="F468" s="13" t="s">
        <v>95</v>
      </c>
      <c r="G468" s="14"/>
      <c r="H468" s="15">
        <f t="shared" si="1400"/>
        <v>0</v>
      </c>
      <c r="I468" s="14"/>
      <c r="J468" s="15">
        <f t="shared" si="1401"/>
        <v>0</v>
      </c>
      <c r="K468" s="14"/>
      <c r="L468" s="15">
        <f t="shared" si="1402"/>
        <v>0</v>
      </c>
      <c r="M468" s="14"/>
      <c r="N468" s="15">
        <f t="shared" si="1403"/>
        <v>0</v>
      </c>
      <c r="O468" s="16">
        <f t="shared" si="1376"/>
        <v>10</v>
      </c>
      <c r="P468" s="16">
        <f t="shared" si="1377"/>
        <v>10</v>
      </c>
      <c r="Q468" s="16">
        <f t="shared" si="1399"/>
        <v>-10</v>
      </c>
      <c r="R468" s="14"/>
      <c r="S468" s="15">
        <f t="shared" si="1404"/>
        <v>0</v>
      </c>
      <c r="T468" s="14"/>
      <c r="U468" s="15">
        <f t="shared" si="1405"/>
        <v>0</v>
      </c>
      <c r="V468" s="16">
        <f t="shared" si="1406"/>
        <v>0</v>
      </c>
      <c r="W468" s="17">
        <f t="shared" si="1407"/>
        <v>0</v>
      </c>
    </row>
    <row r="469" spans="1:23" ht="10.5" hidden="1" customHeight="1" x14ac:dyDescent="0.2">
      <c r="A469" s="11"/>
      <c r="B469" s="149">
        <f>COUNTA(Spieltag!K456:AA456)</f>
        <v>0</v>
      </c>
      <c r="C469" s="166">
        <f>Spieltag!A456</f>
        <v>24</v>
      </c>
      <c r="D469" s="21" t="str">
        <f>Spieltag!B456</f>
        <v>Fredrik Jensen (A)</v>
      </c>
      <c r="E469" s="12" t="str">
        <f>Spieltag!C456</f>
        <v>Mittelfeld</v>
      </c>
      <c r="F469" s="13" t="s">
        <v>95</v>
      </c>
      <c r="G469" s="14"/>
      <c r="H469" s="15">
        <f t="shared" si="1400"/>
        <v>0</v>
      </c>
      <c r="I469" s="14"/>
      <c r="J469" s="15">
        <f t="shared" si="1401"/>
        <v>0</v>
      </c>
      <c r="K469" s="14"/>
      <c r="L469" s="15">
        <f t="shared" si="1402"/>
        <v>0</v>
      </c>
      <c r="M469" s="14"/>
      <c r="N469" s="15">
        <f t="shared" si="1403"/>
        <v>0</v>
      </c>
      <c r="O469" s="16">
        <f t="shared" si="1376"/>
        <v>10</v>
      </c>
      <c r="P469" s="16">
        <f t="shared" si="1377"/>
        <v>10</v>
      </c>
      <c r="Q469" s="16">
        <f t="shared" si="1399"/>
        <v>-10</v>
      </c>
      <c r="R469" s="14"/>
      <c r="S469" s="15">
        <f t="shared" si="1404"/>
        <v>0</v>
      </c>
      <c r="T469" s="14"/>
      <c r="U469" s="15">
        <f t="shared" si="1405"/>
        <v>0</v>
      </c>
      <c r="V469" s="16">
        <f t="shared" si="1406"/>
        <v>0</v>
      </c>
      <c r="W469" s="17">
        <f t="shared" si="1407"/>
        <v>0</v>
      </c>
    </row>
    <row r="470" spans="1:23" ht="10.5" hidden="1" customHeight="1" x14ac:dyDescent="0.2">
      <c r="A470" s="11"/>
      <c r="B470" s="149">
        <f>COUNTA(Spieltag!K457:AA457)</f>
        <v>0</v>
      </c>
      <c r="C470" s="166">
        <f>Spieltag!A457</f>
        <v>27</v>
      </c>
      <c r="D470" s="21" t="str">
        <f>Spieltag!B457</f>
        <v>Arne Engels (A)</v>
      </c>
      <c r="E470" s="12" t="str">
        <f>Spieltag!C457</f>
        <v>Mittelfeld</v>
      </c>
      <c r="F470" s="13" t="s">
        <v>95</v>
      </c>
      <c r="G470" s="14"/>
      <c r="H470" s="15">
        <f t="shared" si="1400"/>
        <v>0</v>
      </c>
      <c r="I470" s="14"/>
      <c r="J470" s="15">
        <f t="shared" si="1401"/>
        <v>0</v>
      </c>
      <c r="K470" s="14"/>
      <c r="L470" s="15">
        <f t="shared" si="1402"/>
        <v>0</v>
      </c>
      <c r="M470" s="14"/>
      <c r="N470" s="15">
        <f t="shared" si="1403"/>
        <v>0</v>
      </c>
      <c r="O470" s="16">
        <f t="shared" si="1376"/>
        <v>10</v>
      </c>
      <c r="P470" s="16">
        <f t="shared" si="1377"/>
        <v>10</v>
      </c>
      <c r="Q470" s="16">
        <f t="shared" si="1399"/>
        <v>-10</v>
      </c>
      <c r="R470" s="14"/>
      <c r="S470" s="15">
        <f t="shared" si="1404"/>
        <v>0</v>
      </c>
      <c r="T470" s="14"/>
      <c r="U470" s="15">
        <f t="shared" si="1405"/>
        <v>0</v>
      </c>
      <c r="V470" s="16">
        <f t="shared" si="1406"/>
        <v>0</v>
      </c>
      <c r="W470" s="17">
        <f t="shared" si="1407"/>
        <v>0</v>
      </c>
    </row>
    <row r="471" spans="1:23" ht="10.5" hidden="1" customHeight="1" x14ac:dyDescent="0.2">
      <c r="A471" s="11"/>
      <c r="B471" s="149">
        <f>COUNTA(Spieltag!K458:AA458)</f>
        <v>0</v>
      </c>
      <c r="C471" s="166">
        <f>Spieltag!A458</f>
        <v>30</v>
      </c>
      <c r="D471" s="21" t="str">
        <f>Spieltag!B458</f>
        <v>Niklas Dorsch</v>
      </c>
      <c r="E471" s="12" t="str">
        <f>Spieltag!C458</f>
        <v>Mittelfeld</v>
      </c>
      <c r="F471" s="13" t="s">
        <v>95</v>
      </c>
      <c r="G471" s="14"/>
      <c r="H471" s="15">
        <f t="shared" si="1400"/>
        <v>0</v>
      </c>
      <c r="I471" s="14"/>
      <c r="J471" s="15">
        <f t="shared" si="1401"/>
        <v>0</v>
      </c>
      <c r="K471" s="14"/>
      <c r="L471" s="15">
        <f t="shared" si="1402"/>
        <v>0</v>
      </c>
      <c r="M471" s="14"/>
      <c r="N471" s="15">
        <f t="shared" si="1403"/>
        <v>0</v>
      </c>
      <c r="O471" s="16">
        <f t="shared" si="1376"/>
        <v>10</v>
      </c>
      <c r="P471" s="16">
        <f t="shared" si="1377"/>
        <v>10</v>
      </c>
      <c r="Q471" s="16">
        <f t="shared" si="1399"/>
        <v>-10</v>
      </c>
      <c r="R471" s="14"/>
      <c r="S471" s="15">
        <f t="shared" si="1404"/>
        <v>0</v>
      </c>
      <c r="T471" s="14"/>
      <c r="U471" s="15">
        <f t="shared" si="1405"/>
        <v>0</v>
      </c>
      <c r="V471" s="16">
        <f t="shared" si="1406"/>
        <v>0</v>
      </c>
      <c r="W471" s="17">
        <f t="shared" si="1407"/>
        <v>0</v>
      </c>
    </row>
    <row r="472" spans="1:23" ht="10.5" hidden="1" customHeight="1" x14ac:dyDescent="0.2">
      <c r="A472" s="11"/>
      <c r="B472" s="149">
        <f>COUNTA(Spieltag!K459:AA459)</f>
        <v>0</v>
      </c>
      <c r="C472" s="166">
        <f>Spieltag!A459</f>
        <v>36</v>
      </c>
      <c r="D472" s="21" t="str">
        <f>Spieltag!B459</f>
        <v>Mert Kömür</v>
      </c>
      <c r="E472" s="12" t="str">
        <f>Spieltag!C459</f>
        <v>Mittelfeld</v>
      </c>
      <c r="F472" s="13" t="s">
        <v>95</v>
      </c>
      <c r="G472" s="14"/>
      <c r="H472" s="15">
        <f t="shared" si="1400"/>
        <v>0</v>
      </c>
      <c r="I472" s="14"/>
      <c r="J472" s="15">
        <f t="shared" si="1401"/>
        <v>0</v>
      </c>
      <c r="K472" s="14"/>
      <c r="L472" s="15">
        <f t="shared" si="1402"/>
        <v>0</v>
      </c>
      <c r="M472" s="14"/>
      <c r="N472" s="15">
        <f t="shared" si="1403"/>
        <v>0</v>
      </c>
      <c r="O472" s="16">
        <f t="shared" si="1376"/>
        <v>10</v>
      </c>
      <c r="P472" s="16">
        <f t="shared" si="1377"/>
        <v>10</v>
      </c>
      <c r="Q472" s="16">
        <f t="shared" si="1399"/>
        <v>-10</v>
      </c>
      <c r="R472" s="14"/>
      <c r="S472" s="15">
        <f t="shared" si="1404"/>
        <v>0</v>
      </c>
      <c r="T472" s="14"/>
      <c r="U472" s="15">
        <f t="shared" si="1405"/>
        <v>0</v>
      </c>
      <c r="V472" s="16">
        <f t="shared" si="1406"/>
        <v>0</v>
      </c>
      <c r="W472" s="17">
        <f t="shared" si="1407"/>
        <v>0</v>
      </c>
    </row>
    <row r="473" spans="1:23" ht="10.5" hidden="1" customHeight="1" x14ac:dyDescent="0.2">
      <c r="A473" s="11"/>
      <c r="B473" s="149">
        <f>COUNTA(Spieltag!K460:AA460)</f>
        <v>0</v>
      </c>
      <c r="C473" s="166">
        <f>Spieltag!A460</f>
        <v>7</v>
      </c>
      <c r="D473" s="21" t="str">
        <f>Spieltag!B460</f>
        <v>Dion Beljo (A)</v>
      </c>
      <c r="E473" s="12" t="str">
        <f>Spieltag!C460</f>
        <v>Sturm</v>
      </c>
      <c r="F473" s="13" t="s">
        <v>95</v>
      </c>
      <c r="G473" s="14"/>
      <c r="H473" s="15">
        <f>IF(G473="x",10,0)</f>
        <v>0</v>
      </c>
      <c r="I473" s="14"/>
      <c r="J473" s="15">
        <f>IF((I473="x"),-10,0)</f>
        <v>0</v>
      </c>
      <c r="K473" s="14"/>
      <c r="L473" s="15">
        <f>IF((K473="x"),-20,0)</f>
        <v>0</v>
      </c>
      <c r="M473" s="14"/>
      <c r="N473" s="15">
        <f>IF((M473="x"),-30,0)</f>
        <v>0</v>
      </c>
      <c r="O473" s="16">
        <f t="shared" ref="O473:O476" si="1416">IF(AND($V$7&gt;$W$7),20,IF($V$7=$W$7,10,0))</f>
        <v>10</v>
      </c>
      <c r="P473" s="16">
        <f t="shared" ref="P473:P476" si="1417">IF(($V$7&lt;&gt;0),$V$7*10,-5)</f>
        <v>10</v>
      </c>
      <c r="Q473" s="16">
        <f t="shared" ref="Q473:Q476" si="1418">IF(($W$7&lt;&gt;0),$W$7*-10,5)</f>
        <v>-10</v>
      </c>
      <c r="R473" s="14"/>
      <c r="S473" s="15">
        <f>R473*10</f>
        <v>0</v>
      </c>
      <c r="T473" s="14"/>
      <c r="U473" s="15">
        <f>T473*-15</f>
        <v>0</v>
      </c>
      <c r="V473" s="16">
        <f>IF(AND(R473=2),10,IF(R473=3,30,IF(R473=4,50,IF(R473=5,70,0))))</f>
        <v>0</v>
      </c>
      <c r="W473" s="17">
        <f>IF(G473="x",H473+J473+L473+N473+O473+P473+Q473+S473+U473+V473,0)</f>
        <v>0</v>
      </c>
    </row>
    <row r="474" spans="1:23" ht="10.5" hidden="1" customHeight="1" x14ac:dyDescent="0.2">
      <c r="A474" s="11"/>
      <c r="B474" s="149">
        <f>COUNTA(Spieltag!K461:AA461)</f>
        <v>0</v>
      </c>
      <c r="C474" s="166">
        <f>Spieltag!A461</f>
        <v>9</v>
      </c>
      <c r="D474" s="21" t="str">
        <f>Spieltag!B461</f>
        <v>Ermedin Demirović (A)</v>
      </c>
      <c r="E474" s="12" t="str">
        <f>Spieltag!C461</f>
        <v>Sturm</v>
      </c>
      <c r="F474" s="13" t="s">
        <v>95</v>
      </c>
      <c r="G474" s="14"/>
      <c r="H474" s="15">
        <f t="shared" ref="H474:H476" si="1419">IF(G474="x",10,0)</f>
        <v>0</v>
      </c>
      <c r="I474" s="14"/>
      <c r="J474" s="15">
        <f t="shared" ref="J474:J476" si="1420">IF((I474="x"),-10,0)</f>
        <v>0</v>
      </c>
      <c r="K474" s="14"/>
      <c r="L474" s="15">
        <f t="shared" ref="L474:L476" si="1421">IF((K474="x"),-20,0)</f>
        <v>0</v>
      </c>
      <c r="M474" s="14"/>
      <c r="N474" s="15">
        <f t="shared" ref="N474:N476" si="1422">IF((M474="x"),-30,0)</f>
        <v>0</v>
      </c>
      <c r="O474" s="16">
        <f t="shared" si="1416"/>
        <v>10</v>
      </c>
      <c r="P474" s="16">
        <f t="shared" si="1417"/>
        <v>10</v>
      </c>
      <c r="Q474" s="16">
        <f t="shared" si="1418"/>
        <v>-10</v>
      </c>
      <c r="R474" s="14"/>
      <c r="S474" s="15">
        <f t="shared" ref="S474:S476" si="1423">R474*10</f>
        <v>0</v>
      </c>
      <c r="T474" s="14"/>
      <c r="U474" s="15">
        <f t="shared" ref="U474:U476" si="1424">T474*-15</f>
        <v>0</v>
      </c>
      <c r="V474" s="16">
        <f t="shared" ref="V474:V476" si="1425">IF(AND(R474=2),10,IF(R474=3,30,IF(R474=4,50,IF(R474=5,70,0))))</f>
        <v>0</v>
      </c>
      <c r="W474" s="17">
        <f t="shared" ref="W474:W476" si="1426">IF(G474="x",H474+J474+L474+N474+O474+P474+Q474+S474+U474+V474,0)</f>
        <v>0</v>
      </c>
    </row>
    <row r="475" spans="1:23" ht="10.5" hidden="1" customHeight="1" x14ac:dyDescent="0.2">
      <c r="A475" s="11"/>
      <c r="B475" s="149">
        <f>COUNTA(Spieltag!K462:AA462)</f>
        <v>0</v>
      </c>
      <c r="C475" s="166">
        <f>Spieltag!A462</f>
        <v>20</v>
      </c>
      <c r="D475" s="21" t="str">
        <f>Spieltag!B462</f>
        <v>Sven Michel</v>
      </c>
      <c r="E475" s="12" t="str">
        <f>Spieltag!C462</f>
        <v>Sturm</v>
      </c>
      <c r="F475" s="13" t="s">
        <v>95</v>
      </c>
      <c r="G475" s="14"/>
      <c r="H475" s="15">
        <f t="shared" si="1419"/>
        <v>0</v>
      </c>
      <c r="I475" s="14"/>
      <c r="J475" s="15">
        <f t="shared" si="1420"/>
        <v>0</v>
      </c>
      <c r="K475" s="14"/>
      <c r="L475" s="15">
        <f t="shared" si="1421"/>
        <v>0</v>
      </c>
      <c r="M475" s="14"/>
      <c r="N475" s="15">
        <f t="shared" si="1422"/>
        <v>0</v>
      </c>
      <c r="O475" s="16">
        <f t="shared" si="1416"/>
        <v>10</v>
      </c>
      <c r="P475" s="16">
        <f t="shared" si="1417"/>
        <v>10</v>
      </c>
      <c r="Q475" s="16">
        <f t="shared" si="1418"/>
        <v>-10</v>
      </c>
      <c r="R475" s="14"/>
      <c r="S475" s="15">
        <f t="shared" si="1423"/>
        <v>0</v>
      </c>
      <c r="T475" s="14"/>
      <c r="U475" s="15">
        <f t="shared" si="1424"/>
        <v>0</v>
      </c>
      <c r="V475" s="16">
        <f t="shared" si="1425"/>
        <v>0</v>
      </c>
      <c r="W475" s="17">
        <f t="shared" si="1426"/>
        <v>0</v>
      </c>
    </row>
    <row r="476" spans="1:23" ht="10.5" hidden="1" customHeight="1" x14ac:dyDescent="0.2">
      <c r="A476" s="11"/>
      <c r="B476" s="149">
        <f>COUNTA(Spieltag!K463:AA463)</f>
        <v>0</v>
      </c>
      <c r="C476" s="166">
        <f>Spieltag!A463</f>
        <v>21</v>
      </c>
      <c r="D476" s="21" t="str">
        <f>Spieltag!B463</f>
        <v>Phillip Tietz</v>
      </c>
      <c r="E476" s="12" t="str">
        <f>Spieltag!C463</f>
        <v>Sturm</v>
      </c>
      <c r="F476" s="13" t="s">
        <v>95</v>
      </c>
      <c r="G476" s="14"/>
      <c r="H476" s="15">
        <f t="shared" si="1419"/>
        <v>0</v>
      </c>
      <c r="I476" s="14"/>
      <c r="J476" s="15">
        <f t="shared" si="1420"/>
        <v>0</v>
      </c>
      <c r="K476" s="14"/>
      <c r="L476" s="15">
        <f t="shared" si="1421"/>
        <v>0</v>
      </c>
      <c r="M476" s="14"/>
      <c r="N476" s="15">
        <f t="shared" si="1422"/>
        <v>0</v>
      </c>
      <c r="O476" s="16">
        <f t="shared" si="1416"/>
        <v>10</v>
      </c>
      <c r="P476" s="16">
        <f t="shared" si="1417"/>
        <v>10</v>
      </c>
      <c r="Q476" s="16">
        <f t="shared" si="1418"/>
        <v>-10</v>
      </c>
      <c r="R476" s="14"/>
      <c r="S476" s="15">
        <f t="shared" si="1423"/>
        <v>0</v>
      </c>
      <c r="T476" s="14"/>
      <c r="U476" s="15">
        <f t="shared" si="1424"/>
        <v>0</v>
      </c>
      <c r="V476" s="16">
        <f t="shared" si="1425"/>
        <v>0</v>
      </c>
      <c r="W476" s="17">
        <f t="shared" si="1426"/>
        <v>0</v>
      </c>
    </row>
    <row r="477" spans="1:23" s="144" customFormat="1" ht="17.25" thickBot="1" x14ac:dyDescent="0.25">
      <c r="A477" s="142"/>
      <c r="B477" s="143">
        <f>SUM(B478:B508)</f>
        <v>2</v>
      </c>
      <c r="C477" s="158"/>
      <c r="D477" s="234" t="s">
        <v>226</v>
      </c>
      <c r="E477" s="234"/>
      <c r="F477" s="234"/>
      <c r="G477" s="234"/>
      <c r="H477" s="234"/>
      <c r="I477" s="234"/>
      <c r="J477" s="234"/>
      <c r="K477" s="234"/>
      <c r="L477" s="234"/>
      <c r="M477" s="234"/>
      <c r="N477" s="234"/>
      <c r="O477" s="234"/>
      <c r="P477" s="234"/>
      <c r="Q477" s="234"/>
      <c r="R477" s="234"/>
      <c r="S477" s="234"/>
      <c r="T477" s="234"/>
      <c r="U477" s="234"/>
      <c r="V477" s="234"/>
      <c r="W477" s="235"/>
    </row>
    <row r="478" spans="1:23" ht="10.5" hidden="1" customHeight="1" x14ac:dyDescent="0.2">
      <c r="A478" s="11"/>
      <c r="B478" s="150">
        <f>COUNTA(Spieltag!K465:AA465)</f>
        <v>0</v>
      </c>
      <c r="C478" s="166">
        <f>Spieltag!A465</f>
        <v>1</v>
      </c>
      <c r="D478" s="21" t="str">
        <f>Spieltag!B465</f>
        <v>Fabian Bredlow</v>
      </c>
      <c r="E478" s="151" t="str">
        <f>Spieltag!C465</f>
        <v>Torwart</v>
      </c>
      <c r="F478" s="152" t="s">
        <v>225</v>
      </c>
      <c r="G478" s="153"/>
      <c r="H478" s="154">
        <f t="shared" ref="H478:H480" si="1427">IF(G478="x",10,0)</f>
        <v>0</v>
      </c>
      <c r="I478" s="153"/>
      <c r="J478" s="154">
        <f t="shared" ref="J478:J480" si="1428">IF((I478="x"),-10,0)</f>
        <v>0</v>
      </c>
      <c r="K478" s="153"/>
      <c r="L478" s="154">
        <f t="shared" ref="L478:L480" si="1429">IF((K478="x"),-20,0)</f>
        <v>0</v>
      </c>
      <c r="M478" s="153"/>
      <c r="N478" s="154">
        <f t="shared" ref="N478:N480" si="1430">IF((M478="x"),-30,0)</f>
        <v>0</v>
      </c>
      <c r="O478" s="155">
        <f t="shared" ref="O478:O481" si="1431">IF(AND($P$10&gt;$Q$10),20,IF($P$10=$Q$10,10,0))</f>
        <v>20</v>
      </c>
      <c r="P478" s="155">
        <f t="shared" ref="P478:P481" si="1432">IF(($P$10&lt;&gt;0),$P$10*10,-5)</f>
        <v>30</v>
      </c>
      <c r="Q478" s="155">
        <f t="shared" ref="Q478:Q481" si="1433">IF(($Q$10&lt;&gt;0),$Q$10*-10,20)</f>
        <v>-10</v>
      </c>
      <c r="R478" s="153"/>
      <c r="S478" s="154">
        <f t="shared" ref="S478:S480" si="1434">R478*20</f>
        <v>0</v>
      </c>
      <c r="T478" s="153"/>
      <c r="U478" s="154">
        <f t="shared" ref="U478:U480" si="1435">T478*-15</f>
        <v>0</v>
      </c>
      <c r="V478" s="155">
        <f t="shared" ref="V478:V480" si="1436">IF(AND(R478=2),10,IF(R478=3,30,IF(R478=4,50,IF(R478=5,70,0))))</f>
        <v>0</v>
      </c>
      <c r="W478" s="156">
        <f t="shared" ref="W478:W480" si="1437">IF(G478="x",H478+J478+L478+N478+O478+P478+Q478+S478+U478+V478,0)</f>
        <v>0</v>
      </c>
    </row>
    <row r="479" spans="1:23" ht="10.5" hidden="1" customHeight="1" x14ac:dyDescent="0.2">
      <c r="A479" s="11"/>
      <c r="B479" s="150">
        <f>COUNTA(Spieltag!K466:AA466)</f>
        <v>0</v>
      </c>
      <c r="C479" s="166">
        <f>Spieltag!A466</f>
        <v>33</v>
      </c>
      <c r="D479" s="21" t="str">
        <f>Spieltag!B466</f>
        <v>Alexander Nübel</v>
      </c>
      <c r="E479" s="151" t="str">
        <f>Spieltag!C466</f>
        <v>Torwart</v>
      </c>
      <c r="F479" s="152" t="s">
        <v>225</v>
      </c>
      <c r="G479" s="153"/>
      <c r="H479" s="154">
        <f t="shared" si="1427"/>
        <v>0</v>
      </c>
      <c r="I479" s="153"/>
      <c r="J479" s="154">
        <f t="shared" si="1428"/>
        <v>0</v>
      </c>
      <c r="K479" s="153"/>
      <c r="L479" s="154">
        <f t="shared" si="1429"/>
        <v>0</v>
      </c>
      <c r="M479" s="153"/>
      <c r="N479" s="154">
        <f t="shared" si="1430"/>
        <v>0</v>
      </c>
      <c r="O479" s="155">
        <f t="shared" si="1431"/>
        <v>20</v>
      </c>
      <c r="P479" s="155">
        <f t="shared" si="1432"/>
        <v>30</v>
      </c>
      <c r="Q479" s="155">
        <f t="shared" si="1433"/>
        <v>-10</v>
      </c>
      <c r="R479" s="153"/>
      <c r="S479" s="154">
        <f t="shared" si="1434"/>
        <v>0</v>
      </c>
      <c r="T479" s="153"/>
      <c r="U479" s="154">
        <f t="shared" si="1435"/>
        <v>0</v>
      </c>
      <c r="V479" s="155">
        <f t="shared" si="1436"/>
        <v>0</v>
      </c>
      <c r="W479" s="156">
        <f t="shared" si="1437"/>
        <v>0</v>
      </c>
    </row>
    <row r="480" spans="1:23" ht="10.5" hidden="1" customHeight="1" x14ac:dyDescent="0.2">
      <c r="A480" s="11"/>
      <c r="B480" s="150">
        <f>COUNTA(Spieltag!K467:AA467)</f>
        <v>0</v>
      </c>
      <c r="C480" s="166">
        <f>Spieltag!A467</f>
        <v>41</v>
      </c>
      <c r="D480" s="21" t="str">
        <f>Spieltag!B467</f>
        <v>Dennis Seimen</v>
      </c>
      <c r="E480" s="151" t="str">
        <f>Spieltag!C467</f>
        <v>Torwart</v>
      </c>
      <c r="F480" s="152" t="s">
        <v>225</v>
      </c>
      <c r="G480" s="153"/>
      <c r="H480" s="154">
        <f t="shared" si="1427"/>
        <v>0</v>
      </c>
      <c r="I480" s="153"/>
      <c r="J480" s="154">
        <f t="shared" si="1428"/>
        <v>0</v>
      </c>
      <c r="K480" s="153"/>
      <c r="L480" s="154">
        <f t="shared" si="1429"/>
        <v>0</v>
      </c>
      <c r="M480" s="153"/>
      <c r="N480" s="154">
        <f t="shared" si="1430"/>
        <v>0</v>
      </c>
      <c r="O480" s="155">
        <f t="shared" si="1431"/>
        <v>20</v>
      </c>
      <c r="P480" s="155">
        <f t="shared" si="1432"/>
        <v>30</v>
      </c>
      <c r="Q480" s="155">
        <f t="shared" si="1433"/>
        <v>-10</v>
      </c>
      <c r="R480" s="153"/>
      <c r="S480" s="154">
        <f t="shared" si="1434"/>
        <v>0</v>
      </c>
      <c r="T480" s="153"/>
      <c r="U480" s="154">
        <f t="shared" si="1435"/>
        <v>0</v>
      </c>
      <c r="V480" s="155">
        <f t="shared" si="1436"/>
        <v>0</v>
      </c>
      <c r="W480" s="156">
        <f t="shared" si="1437"/>
        <v>0</v>
      </c>
    </row>
    <row r="481" spans="1:23" ht="10.5" hidden="1" customHeight="1" x14ac:dyDescent="0.2">
      <c r="A481" s="11"/>
      <c r="B481" s="150">
        <f>COUNTA(Spieltag!K468:AA468)</f>
        <v>0</v>
      </c>
      <c r="C481" s="166">
        <f>Spieltag!A468</f>
        <v>42</v>
      </c>
      <c r="D481" s="21" t="str">
        <f>Spieltag!B468</f>
        <v>Florian Schock</v>
      </c>
      <c r="E481" s="151" t="str">
        <f>Spieltag!C468</f>
        <v>Torwart</v>
      </c>
      <c r="F481" s="152" t="s">
        <v>225</v>
      </c>
      <c r="G481" s="153"/>
      <c r="H481" s="154">
        <f t="shared" ref="H481" si="1438">IF(G481="x",10,0)</f>
        <v>0</v>
      </c>
      <c r="I481" s="153"/>
      <c r="J481" s="154">
        <f t="shared" ref="J481" si="1439">IF((I481="x"),-10,0)</f>
        <v>0</v>
      </c>
      <c r="K481" s="153"/>
      <c r="L481" s="154">
        <f t="shared" ref="L481" si="1440">IF((K481="x"),-20,0)</f>
        <v>0</v>
      </c>
      <c r="M481" s="153"/>
      <c r="N481" s="154">
        <f t="shared" ref="N481" si="1441">IF((M481="x"),-30,0)</f>
        <v>0</v>
      </c>
      <c r="O481" s="155">
        <f t="shared" si="1431"/>
        <v>20</v>
      </c>
      <c r="P481" s="155">
        <f t="shared" si="1432"/>
        <v>30</v>
      </c>
      <c r="Q481" s="155">
        <f t="shared" si="1433"/>
        <v>-10</v>
      </c>
      <c r="R481" s="153"/>
      <c r="S481" s="154">
        <f t="shared" ref="S481" si="1442">R481*20</f>
        <v>0</v>
      </c>
      <c r="T481" s="153"/>
      <c r="U481" s="154">
        <f t="shared" ref="U481" si="1443">T481*-15</f>
        <v>0</v>
      </c>
      <c r="V481" s="155">
        <f t="shared" ref="V481" si="1444">IF(AND(R481=2),10,IF(R481=3,30,IF(R481=4,50,IF(R481=5,70,0))))</f>
        <v>0</v>
      </c>
      <c r="W481" s="156">
        <f t="shared" ref="W481" si="1445">IF(G481="x",H481+J481+L481+N481+O481+P481+Q481+S481+U481+V481,0)</f>
        <v>0</v>
      </c>
    </row>
    <row r="482" spans="1:23" ht="10.5" hidden="1" customHeight="1" x14ac:dyDescent="0.2">
      <c r="A482" s="11"/>
      <c r="B482" s="149">
        <f>COUNTA(Spieltag!K469:AA469)</f>
        <v>0</v>
      </c>
      <c r="C482" s="166">
        <f>Spieltag!A469</f>
        <v>2</v>
      </c>
      <c r="D482" s="21" t="str">
        <f>Spieltag!B469</f>
        <v>Waldemar Anton</v>
      </c>
      <c r="E482" s="12" t="str">
        <f>Spieltag!C469</f>
        <v>Abwehr</v>
      </c>
      <c r="F482" s="152" t="s">
        <v>225</v>
      </c>
      <c r="G482" s="14"/>
      <c r="H482" s="15">
        <f t="shared" ref="H482" si="1446">IF(G482="x",10,0)</f>
        <v>0</v>
      </c>
      <c r="I482" s="14"/>
      <c r="J482" s="15">
        <f t="shared" ref="J482" si="1447">IF((I482="x"),-10,0)</f>
        <v>0</v>
      </c>
      <c r="K482" s="14"/>
      <c r="L482" s="15">
        <f t="shared" ref="L482" si="1448">IF((K482="x"),-20,0)</f>
        <v>0</v>
      </c>
      <c r="M482" s="14"/>
      <c r="N482" s="15">
        <f t="shared" ref="N482" si="1449">IF((M482="x"),-30,0)</f>
        <v>0</v>
      </c>
      <c r="O482" s="16">
        <f t="shared" ref="O482:O490" si="1450">IF(AND($P$10&gt;$Q$10),20,IF($P$10=$Q$10,10,0))</f>
        <v>20</v>
      </c>
      <c r="P482" s="16">
        <f t="shared" ref="P482:P490" si="1451">IF(($P$10&lt;&gt;0),$P$10*10,-5)</f>
        <v>30</v>
      </c>
      <c r="Q482" s="16">
        <f t="shared" ref="Q482:Q490" si="1452">IF(($Q$10&lt;&gt;0),$Q$10*-10,15)</f>
        <v>-10</v>
      </c>
      <c r="R482" s="14"/>
      <c r="S482" s="15">
        <f t="shared" ref="S482" si="1453">R482*15</f>
        <v>0</v>
      </c>
      <c r="T482" s="14"/>
      <c r="U482" s="15">
        <f t="shared" ref="U482" si="1454">T482*-15</f>
        <v>0</v>
      </c>
      <c r="V482" s="16">
        <f t="shared" ref="V482" si="1455">IF(AND(R482=2),10,IF(R482=3,30,IF(R482=4,50,IF(R482=5,70,0))))</f>
        <v>0</v>
      </c>
      <c r="W482" s="17">
        <f t="shared" ref="W482" si="1456">IF(G482="x",H482+J482+L482+N482+O482+P482+Q482+S482+U482+V482,0)</f>
        <v>0</v>
      </c>
    </row>
    <row r="483" spans="1:23" ht="10.5" hidden="1" customHeight="1" x14ac:dyDescent="0.2">
      <c r="A483" s="11"/>
      <c r="B483" s="149">
        <f>COUNTA(Spieltag!K470:AA470)</f>
        <v>0</v>
      </c>
      <c r="C483" s="166">
        <f>Spieltag!A470</f>
        <v>4</v>
      </c>
      <c r="D483" s="21" t="str">
        <f>Spieltag!B470</f>
        <v>Josha Vagnoman</v>
      </c>
      <c r="E483" s="12" t="str">
        <f>Spieltag!C470</f>
        <v>Abwehr</v>
      </c>
      <c r="F483" s="152" t="s">
        <v>225</v>
      </c>
      <c r="G483" s="14"/>
      <c r="H483" s="15">
        <f t="shared" ref="H483:H491" si="1457">IF(G483="x",10,0)</f>
        <v>0</v>
      </c>
      <c r="I483" s="14"/>
      <c r="J483" s="15">
        <f t="shared" ref="J483:J491" si="1458">IF((I483="x"),-10,0)</f>
        <v>0</v>
      </c>
      <c r="K483" s="14"/>
      <c r="L483" s="15">
        <f t="shared" ref="L483:L491" si="1459">IF((K483="x"),-20,0)</f>
        <v>0</v>
      </c>
      <c r="M483" s="14"/>
      <c r="N483" s="15">
        <f t="shared" ref="N483:N491" si="1460">IF((M483="x"),-30,0)</f>
        <v>0</v>
      </c>
      <c r="O483" s="16">
        <f t="shared" si="1450"/>
        <v>20</v>
      </c>
      <c r="P483" s="16">
        <f t="shared" si="1451"/>
        <v>30</v>
      </c>
      <c r="Q483" s="16">
        <f t="shared" si="1452"/>
        <v>-10</v>
      </c>
      <c r="R483" s="14"/>
      <c r="S483" s="15">
        <f t="shared" ref="S483:S490" si="1461">R483*15</f>
        <v>0</v>
      </c>
      <c r="T483" s="14"/>
      <c r="U483" s="15">
        <f t="shared" ref="U483:U491" si="1462">T483*-15</f>
        <v>0</v>
      </c>
      <c r="V483" s="16">
        <f t="shared" ref="V483:V491" si="1463">IF(AND(R483=2),10,IF(R483=3,30,IF(R483=4,50,IF(R483=5,70,0))))</f>
        <v>0</v>
      </c>
      <c r="W483" s="17">
        <f t="shared" ref="W483:W491" si="1464">IF(G483="x",H483+J483+L483+N483+O483+P483+Q483+S483+U483+V483,0)</f>
        <v>0</v>
      </c>
    </row>
    <row r="484" spans="1:23" ht="10.5" hidden="1" customHeight="1" x14ac:dyDescent="0.2">
      <c r="A484" s="11"/>
      <c r="B484" s="149">
        <f>COUNTA(Spieltag!K471:AA471)</f>
        <v>0</v>
      </c>
      <c r="C484" s="166">
        <f>Spieltag!A471</f>
        <v>7</v>
      </c>
      <c r="D484" s="21" t="str">
        <f>Spieltag!B471</f>
        <v>Maximilian Mittelstädt</v>
      </c>
      <c r="E484" s="12" t="str">
        <f>Spieltag!C471</f>
        <v>Abwehr</v>
      </c>
      <c r="F484" s="152" t="s">
        <v>225</v>
      </c>
      <c r="G484" s="14"/>
      <c r="H484" s="15">
        <f t="shared" si="1457"/>
        <v>0</v>
      </c>
      <c r="I484" s="14"/>
      <c r="J484" s="15">
        <f t="shared" si="1458"/>
        <v>0</v>
      </c>
      <c r="K484" s="14"/>
      <c r="L484" s="15">
        <f t="shared" si="1459"/>
        <v>0</v>
      </c>
      <c r="M484" s="14"/>
      <c r="N484" s="15">
        <f t="shared" si="1460"/>
        <v>0</v>
      </c>
      <c r="O484" s="16">
        <f t="shared" si="1450"/>
        <v>20</v>
      </c>
      <c r="P484" s="16">
        <f t="shared" si="1451"/>
        <v>30</v>
      </c>
      <c r="Q484" s="16">
        <f t="shared" si="1452"/>
        <v>-10</v>
      </c>
      <c r="R484" s="14"/>
      <c r="S484" s="15">
        <f t="shared" si="1461"/>
        <v>0</v>
      </c>
      <c r="T484" s="14"/>
      <c r="U484" s="15">
        <f t="shared" si="1462"/>
        <v>0</v>
      </c>
      <c r="V484" s="16">
        <f t="shared" si="1463"/>
        <v>0</v>
      </c>
      <c r="W484" s="17">
        <f t="shared" si="1464"/>
        <v>0</v>
      </c>
    </row>
    <row r="485" spans="1:23" ht="10.5" hidden="1" customHeight="1" x14ac:dyDescent="0.2">
      <c r="A485" s="11"/>
      <c r="B485" s="149">
        <f>COUNTA(Spieltag!K472:AA472)</f>
        <v>0</v>
      </c>
      <c r="C485" s="166">
        <f>Spieltag!A472</f>
        <v>15</v>
      </c>
      <c r="D485" s="21" t="str">
        <f>Spieltag!B472</f>
        <v>Pascal Stenzel</v>
      </c>
      <c r="E485" s="12" t="str">
        <f>Spieltag!C472</f>
        <v>Abwehr</v>
      </c>
      <c r="F485" s="152" t="s">
        <v>225</v>
      </c>
      <c r="G485" s="14"/>
      <c r="H485" s="15">
        <f t="shared" si="1457"/>
        <v>0</v>
      </c>
      <c r="I485" s="14"/>
      <c r="J485" s="15">
        <f t="shared" si="1458"/>
        <v>0</v>
      </c>
      <c r="K485" s="14"/>
      <c r="L485" s="15">
        <f t="shared" si="1459"/>
        <v>0</v>
      </c>
      <c r="M485" s="14"/>
      <c r="N485" s="15">
        <f t="shared" si="1460"/>
        <v>0</v>
      </c>
      <c r="O485" s="16">
        <f t="shared" si="1450"/>
        <v>20</v>
      </c>
      <c r="P485" s="16">
        <f t="shared" si="1451"/>
        <v>30</v>
      </c>
      <c r="Q485" s="16">
        <f t="shared" si="1452"/>
        <v>-10</v>
      </c>
      <c r="R485" s="14"/>
      <c r="S485" s="15">
        <f t="shared" si="1461"/>
        <v>0</v>
      </c>
      <c r="T485" s="14"/>
      <c r="U485" s="15">
        <f t="shared" si="1462"/>
        <v>0</v>
      </c>
      <c r="V485" s="16">
        <f t="shared" si="1463"/>
        <v>0</v>
      </c>
      <c r="W485" s="17">
        <f t="shared" si="1464"/>
        <v>0</v>
      </c>
    </row>
    <row r="486" spans="1:23" ht="10.5" hidden="1" customHeight="1" x14ac:dyDescent="0.2">
      <c r="A486" s="11"/>
      <c r="B486" s="149">
        <f>COUNTA(Spieltag!K473:AA473)</f>
        <v>0</v>
      </c>
      <c r="C486" s="166">
        <f>Spieltag!A473</f>
        <v>20</v>
      </c>
      <c r="D486" s="21" t="str">
        <f>Spieltag!B473</f>
        <v>Leonidas Stergiou (A)</v>
      </c>
      <c r="E486" s="12" t="str">
        <f>Spieltag!C473</f>
        <v>Abwehr</v>
      </c>
      <c r="F486" s="152" t="s">
        <v>225</v>
      </c>
      <c r="G486" s="14"/>
      <c r="H486" s="15">
        <f>IF(G486="x",10,0)</f>
        <v>0</v>
      </c>
      <c r="I486" s="14"/>
      <c r="J486" s="15">
        <f>IF((I486="x"),-10,0)</f>
        <v>0</v>
      </c>
      <c r="K486" s="14"/>
      <c r="L486" s="15">
        <f>IF((K486="x"),-20,0)</f>
        <v>0</v>
      </c>
      <c r="M486" s="14"/>
      <c r="N486" s="15">
        <f>IF((M486="x"),-30,0)</f>
        <v>0</v>
      </c>
      <c r="O486" s="16">
        <f t="shared" si="1450"/>
        <v>20</v>
      </c>
      <c r="P486" s="16">
        <f t="shared" si="1451"/>
        <v>30</v>
      </c>
      <c r="Q486" s="16">
        <f t="shared" si="1452"/>
        <v>-10</v>
      </c>
      <c r="R486" s="14"/>
      <c r="S486" s="15">
        <f>R486*15</f>
        <v>0</v>
      </c>
      <c r="T486" s="14"/>
      <c r="U486" s="15">
        <f>T486*-15</f>
        <v>0</v>
      </c>
      <c r="V486" s="16">
        <f>IF(AND(R486=2),10,IF(R486=3,30,IF(R486=4,50,IF(R486=5,70,0))))</f>
        <v>0</v>
      </c>
      <c r="W486" s="17">
        <f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COUNTA(Spieltag!K474:AA474)</f>
        <v>0</v>
      </c>
      <c r="C487" s="166">
        <f>Spieltag!A474</f>
        <v>21</v>
      </c>
      <c r="D487" s="21" t="str">
        <f>Spieltag!B474</f>
        <v>Hikori Ito (A)</v>
      </c>
      <c r="E487" s="12" t="str">
        <f>Spieltag!C474</f>
        <v>Abwehr</v>
      </c>
      <c r="F487" s="152" t="s">
        <v>225</v>
      </c>
      <c r="G487" s="14"/>
      <c r="H487" s="15">
        <f t="shared" si="1457"/>
        <v>0</v>
      </c>
      <c r="I487" s="14"/>
      <c r="J487" s="15">
        <f t="shared" si="1458"/>
        <v>0</v>
      </c>
      <c r="K487" s="14"/>
      <c r="L487" s="15">
        <f t="shared" si="1459"/>
        <v>0</v>
      </c>
      <c r="M487" s="14"/>
      <c r="N487" s="15">
        <f t="shared" si="1460"/>
        <v>0</v>
      </c>
      <c r="O487" s="16">
        <f t="shared" si="1450"/>
        <v>20</v>
      </c>
      <c r="P487" s="16">
        <f t="shared" si="1451"/>
        <v>30</v>
      </c>
      <c r="Q487" s="16">
        <f t="shared" si="1452"/>
        <v>-10</v>
      </c>
      <c r="R487" s="14"/>
      <c r="S487" s="15">
        <f t="shared" si="1461"/>
        <v>0</v>
      </c>
      <c r="T487" s="14"/>
      <c r="U487" s="15">
        <f t="shared" si="1462"/>
        <v>0</v>
      </c>
      <c r="V487" s="16">
        <f t="shared" si="1463"/>
        <v>0</v>
      </c>
      <c r="W487" s="17">
        <f t="shared" si="1464"/>
        <v>0</v>
      </c>
    </row>
    <row r="488" spans="1:23" ht="10.5" hidden="1" customHeight="1" x14ac:dyDescent="0.2">
      <c r="A488" s="11"/>
      <c r="B488" s="149">
        <f>COUNTA(Spieltag!K475:AA475)</f>
        <v>0</v>
      </c>
      <c r="C488" s="166">
        <f>Spieltag!A475</f>
        <v>23</v>
      </c>
      <c r="D488" s="21" t="str">
        <f>Spieltag!B475</f>
        <v>Dan-Axel Zagadou (A)</v>
      </c>
      <c r="E488" s="12" t="str">
        <f>Spieltag!C475</f>
        <v>Abwehr</v>
      </c>
      <c r="F488" s="152" t="s">
        <v>225</v>
      </c>
      <c r="G488" s="14"/>
      <c r="H488" s="15">
        <f t="shared" si="1457"/>
        <v>0</v>
      </c>
      <c r="I488" s="14"/>
      <c r="J488" s="15">
        <f t="shared" si="1458"/>
        <v>0</v>
      </c>
      <c r="K488" s="14"/>
      <c r="L488" s="15">
        <f t="shared" si="1459"/>
        <v>0</v>
      </c>
      <c r="M488" s="14"/>
      <c r="N488" s="15">
        <f t="shared" si="1460"/>
        <v>0</v>
      </c>
      <c r="O488" s="16">
        <f t="shared" si="1450"/>
        <v>20</v>
      </c>
      <c r="P488" s="16">
        <f t="shared" si="1451"/>
        <v>30</v>
      </c>
      <c r="Q488" s="16">
        <f t="shared" si="1452"/>
        <v>-10</v>
      </c>
      <c r="R488" s="14"/>
      <c r="S488" s="15">
        <f t="shared" si="1461"/>
        <v>0</v>
      </c>
      <c r="T488" s="14"/>
      <c r="U488" s="15">
        <f t="shared" si="1462"/>
        <v>0</v>
      </c>
      <c r="V488" s="16">
        <f t="shared" si="1463"/>
        <v>0</v>
      </c>
      <c r="W488" s="17">
        <f t="shared" si="1464"/>
        <v>0</v>
      </c>
    </row>
    <row r="489" spans="1:23" ht="10.5" hidden="1" customHeight="1" x14ac:dyDescent="0.2">
      <c r="A489" s="11"/>
      <c r="B489" s="149">
        <f>COUNTA(Spieltag!K476:AA476)</f>
        <v>0</v>
      </c>
      <c r="C489" s="166">
        <f>Spieltag!A476</f>
        <v>29</v>
      </c>
      <c r="D489" s="21" t="str">
        <f>Spieltag!B476</f>
        <v>Anthony Rouault (A)</v>
      </c>
      <c r="E489" s="12" t="str">
        <f>Spieltag!C476</f>
        <v>Abwehr</v>
      </c>
      <c r="F489" s="152" t="s">
        <v>225</v>
      </c>
      <c r="G489" s="14"/>
      <c r="H489" s="15">
        <f t="shared" ref="H489" si="1465">IF(G489="x",10,0)</f>
        <v>0</v>
      </c>
      <c r="I489" s="14"/>
      <c r="J489" s="15">
        <f t="shared" ref="J489" si="1466">IF((I489="x"),-10,0)</f>
        <v>0</v>
      </c>
      <c r="K489" s="14"/>
      <c r="L489" s="15">
        <f t="shared" ref="L489" si="1467">IF((K489="x"),-20,0)</f>
        <v>0</v>
      </c>
      <c r="M489" s="14"/>
      <c r="N489" s="15">
        <f t="shared" ref="N489" si="1468">IF((M489="x"),-30,0)</f>
        <v>0</v>
      </c>
      <c r="O489" s="16">
        <f t="shared" si="1450"/>
        <v>20</v>
      </c>
      <c r="P489" s="16">
        <f t="shared" si="1451"/>
        <v>30</v>
      </c>
      <c r="Q489" s="16">
        <f t="shared" si="1452"/>
        <v>-10</v>
      </c>
      <c r="R489" s="14"/>
      <c r="S489" s="15">
        <f t="shared" ref="S489" si="1469">R489*15</f>
        <v>0</v>
      </c>
      <c r="T489" s="14"/>
      <c r="U489" s="15">
        <f t="shared" ref="U489" si="1470">T489*-15</f>
        <v>0</v>
      </c>
      <c r="V489" s="16">
        <f t="shared" ref="V489" si="1471">IF(AND(R489=2),10,IF(R489=3,30,IF(R489=4,50,IF(R489=5,70,0))))</f>
        <v>0</v>
      </c>
      <c r="W489" s="17">
        <f t="shared" ref="W489" si="1472">IF(G489="x",H489+J489+L489+N489+O489+P489+Q489+S489+U489+V489,0)</f>
        <v>0</v>
      </c>
    </row>
    <row r="490" spans="1:23" ht="10.5" hidden="1" customHeight="1" x14ac:dyDescent="0.2">
      <c r="A490" s="11"/>
      <c r="B490" s="149">
        <f>COUNTA(Spieltag!K477:AA477)</f>
        <v>0</v>
      </c>
      <c r="C490" s="166">
        <f>Spieltag!A477</f>
        <v>49</v>
      </c>
      <c r="D490" s="21" t="str">
        <f>Spieltag!B477</f>
        <v>Moussa Cissé (A)</v>
      </c>
      <c r="E490" s="12" t="str">
        <f>Spieltag!C477</f>
        <v>Abwehr</v>
      </c>
      <c r="F490" s="152" t="s">
        <v>225</v>
      </c>
      <c r="G490" s="14"/>
      <c r="H490" s="15">
        <f t="shared" si="1457"/>
        <v>0</v>
      </c>
      <c r="I490" s="14"/>
      <c r="J490" s="15">
        <f t="shared" si="1458"/>
        <v>0</v>
      </c>
      <c r="K490" s="14"/>
      <c r="L490" s="15">
        <f t="shared" si="1459"/>
        <v>0</v>
      </c>
      <c r="M490" s="14"/>
      <c r="N490" s="15">
        <f t="shared" si="1460"/>
        <v>0</v>
      </c>
      <c r="O490" s="16">
        <f t="shared" si="1450"/>
        <v>20</v>
      </c>
      <c r="P490" s="16">
        <f t="shared" si="1451"/>
        <v>30</v>
      </c>
      <c r="Q490" s="16">
        <f t="shared" si="1452"/>
        <v>-10</v>
      </c>
      <c r="R490" s="14"/>
      <c r="S490" s="15">
        <f t="shared" si="1461"/>
        <v>0</v>
      </c>
      <c r="T490" s="14"/>
      <c r="U490" s="15">
        <f t="shared" si="1462"/>
        <v>0</v>
      </c>
      <c r="V490" s="16">
        <f t="shared" si="1463"/>
        <v>0</v>
      </c>
      <c r="W490" s="17">
        <f t="shared" si="1464"/>
        <v>0</v>
      </c>
    </row>
    <row r="491" spans="1:23" ht="10.5" hidden="1" customHeight="1" x14ac:dyDescent="0.2">
      <c r="A491" s="11"/>
      <c r="B491" s="149">
        <f>COUNTA(Spieltag!K478:AA478)</f>
        <v>0</v>
      </c>
      <c r="C491" s="166">
        <f>Spieltag!A478</f>
        <v>6</v>
      </c>
      <c r="D491" s="21" t="str">
        <f>Spieltag!B478</f>
        <v>Angelo Stiller</v>
      </c>
      <c r="E491" s="12" t="str">
        <f>Spieltag!C478</f>
        <v>Mittelfeld</v>
      </c>
      <c r="F491" s="152" t="s">
        <v>225</v>
      </c>
      <c r="G491" s="14"/>
      <c r="H491" s="15">
        <f t="shared" si="1457"/>
        <v>0</v>
      </c>
      <c r="I491" s="14"/>
      <c r="J491" s="15">
        <f t="shared" si="1458"/>
        <v>0</v>
      </c>
      <c r="K491" s="14"/>
      <c r="L491" s="15">
        <f t="shared" si="1459"/>
        <v>0</v>
      </c>
      <c r="M491" s="14"/>
      <c r="N491" s="15">
        <f t="shared" si="1460"/>
        <v>0</v>
      </c>
      <c r="O491" s="16">
        <f t="shared" ref="O491:O503" si="1473">IF(AND($P$10&gt;$Q$10),20,IF($P$10=$Q$10,10,0))</f>
        <v>20</v>
      </c>
      <c r="P491" s="16">
        <f t="shared" ref="P491:P503" si="1474">IF(($P$10&lt;&gt;0),$P$10*10,-5)</f>
        <v>30</v>
      </c>
      <c r="Q491" s="16">
        <f t="shared" ref="Q491:Q503" si="1475">IF(($Q$10&lt;&gt;0),$Q$10*-10,10)</f>
        <v>-10</v>
      </c>
      <c r="R491" s="14"/>
      <c r="S491" s="15">
        <f t="shared" ref="S491" si="1476">R491*10</f>
        <v>0</v>
      </c>
      <c r="T491" s="14"/>
      <c r="U491" s="15">
        <f t="shared" si="1462"/>
        <v>0</v>
      </c>
      <c r="V491" s="16">
        <f t="shared" si="1463"/>
        <v>0</v>
      </c>
      <c r="W491" s="17">
        <f t="shared" si="1464"/>
        <v>0</v>
      </c>
    </row>
    <row r="492" spans="1:23" ht="10.5" hidden="1" customHeight="1" x14ac:dyDescent="0.2">
      <c r="A492" s="11"/>
      <c r="B492" s="149">
        <f>COUNTA(Spieltag!K479:AA479)</f>
        <v>0</v>
      </c>
      <c r="C492" s="166">
        <f>Spieltag!A479</f>
        <v>8</v>
      </c>
      <c r="D492" s="21" t="str">
        <f>Spieltag!B479</f>
        <v>Enzo Millot (A)</v>
      </c>
      <c r="E492" s="12" t="str">
        <f>Spieltag!C479</f>
        <v>Mittelfeld</v>
      </c>
      <c r="F492" s="152" t="s">
        <v>225</v>
      </c>
      <c r="G492" s="14"/>
      <c r="H492" s="15">
        <f t="shared" ref="H492:H503" si="1477">IF(G492="x",10,0)</f>
        <v>0</v>
      </c>
      <c r="I492" s="14"/>
      <c r="J492" s="15">
        <f t="shared" ref="J492:J503" si="1478">IF((I492="x"),-10,0)</f>
        <v>0</v>
      </c>
      <c r="K492" s="14"/>
      <c r="L492" s="15">
        <f t="shared" ref="L492:L503" si="1479">IF((K492="x"),-20,0)</f>
        <v>0</v>
      </c>
      <c r="M492" s="14"/>
      <c r="N492" s="15">
        <f t="shared" ref="N492:N503" si="1480">IF((M492="x"),-30,0)</f>
        <v>0</v>
      </c>
      <c r="O492" s="16">
        <f t="shared" si="1473"/>
        <v>20</v>
      </c>
      <c r="P492" s="16">
        <f t="shared" si="1474"/>
        <v>30</v>
      </c>
      <c r="Q492" s="16">
        <f t="shared" si="1475"/>
        <v>-10</v>
      </c>
      <c r="R492" s="14"/>
      <c r="S492" s="15">
        <f t="shared" ref="S492:S503" si="1481">R492*10</f>
        <v>0</v>
      </c>
      <c r="T492" s="14"/>
      <c r="U492" s="15">
        <f t="shared" ref="U492:U503" si="1482">T492*-15</f>
        <v>0</v>
      </c>
      <c r="V492" s="16">
        <f t="shared" ref="V492:V503" si="1483">IF(AND(R492=2),10,IF(R492=3,30,IF(R492=4,50,IF(R492=5,70,0))))</f>
        <v>0</v>
      </c>
      <c r="W492" s="17">
        <f t="shared" ref="W492:W503" si="1484">IF(G492="x",H492+J492+L492+N492+O492+P492+Q492+S492+U492+V492,0)</f>
        <v>0</v>
      </c>
    </row>
    <row r="493" spans="1:23" ht="10.5" hidden="1" customHeight="1" x14ac:dyDescent="0.2">
      <c r="A493" s="11"/>
      <c r="B493" s="149">
        <f>COUNTA(Spieltag!K480:AA480)</f>
        <v>0</v>
      </c>
      <c r="C493" s="166">
        <f>Spieltag!A480</f>
        <v>10</v>
      </c>
      <c r="D493" s="21" t="str">
        <f>Spieltag!B480</f>
        <v>Wooyeong Jeong (A)</v>
      </c>
      <c r="E493" s="12" t="str">
        <f>Spieltag!C480</f>
        <v>Mittelfeld</v>
      </c>
      <c r="F493" s="152" t="s">
        <v>225</v>
      </c>
      <c r="G493" s="14"/>
      <c r="H493" s="15">
        <f t="shared" si="1477"/>
        <v>0</v>
      </c>
      <c r="I493" s="14"/>
      <c r="J493" s="15">
        <f t="shared" si="1478"/>
        <v>0</v>
      </c>
      <c r="K493" s="14"/>
      <c r="L493" s="15">
        <f t="shared" si="1479"/>
        <v>0</v>
      </c>
      <c r="M493" s="14"/>
      <c r="N493" s="15">
        <f t="shared" si="1480"/>
        <v>0</v>
      </c>
      <c r="O493" s="16">
        <f t="shared" si="1473"/>
        <v>20</v>
      </c>
      <c r="P493" s="16">
        <f t="shared" si="1474"/>
        <v>30</v>
      </c>
      <c r="Q493" s="16">
        <f t="shared" si="1475"/>
        <v>-10</v>
      </c>
      <c r="R493" s="14"/>
      <c r="S493" s="15">
        <f t="shared" si="1481"/>
        <v>0</v>
      </c>
      <c r="T493" s="14"/>
      <c r="U493" s="15">
        <f t="shared" si="1482"/>
        <v>0</v>
      </c>
      <c r="V493" s="16">
        <f t="shared" si="1483"/>
        <v>0</v>
      </c>
      <c r="W493" s="17">
        <f t="shared" si="1484"/>
        <v>0</v>
      </c>
    </row>
    <row r="494" spans="1:23" ht="10.5" hidden="1" customHeight="1" x14ac:dyDescent="0.2">
      <c r="A494" s="11"/>
      <c r="B494" s="149">
        <f>COUNTA(Spieltag!K481:AA481)</f>
        <v>0</v>
      </c>
      <c r="C494" s="166">
        <f>Spieltag!A481</f>
        <v>16</v>
      </c>
      <c r="D494" s="21" t="str">
        <f>Spieltag!B481</f>
        <v>Atakan Karazor</v>
      </c>
      <c r="E494" s="12" t="str">
        <f>Spieltag!C481</f>
        <v>Mittelfeld</v>
      </c>
      <c r="F494" s="152" t="s">
        <v>225</v>
      </c>
      <c r="G494" s="14"/>
      <c r="H494" s="15">
        <f>IF(G494="x",10,0)</f>
        <v>0</v>
      </c>
      <c r="I494" s="14"/>
      <c r="J494" s="15">
        <f>IF((I494="x"),-10,0)</f>
        <v>0</v>
      </c>
      <c r="K494" s="14"/>
      <c r="L494" s="15">
        <f>IF((K494="x"),-20,0)</f>
        <v>0</v>
      </c>
      <c r="M494" s="14"/>
      <c r="N494" s="15">
        <f>IF((M494="x"),-30,0)</f>
        <v>0</v>
      </c>
      <c r="O494" s="16">
        <f t="shared" si="1473"/>
        <v>20</v>
      </c>
      <c r="P494" s="16">
        <f t="shared" si="1474"/>
        <v>30</v>
      </c>
      <c r="Q494" s="16">
        <f t="shared" si="1475"/>
        <v>-10</v>
      </c>
      <c r="R494" s="14"/>
      <c r="S494" s="15">
        <f>R494*10</f>
        <v>0</v>
      </c>
      <c r="T494" s="14"/>
      <c r="U494" s="15">
        <f>T494*-15</f>
        <v>0</v>
      </c>
      <c r="V494" s="16">
        <f>IF(AND(R494=2),10,IF(R494=3,30,IF(R494=4,50,IF(R494=5,70,0))))</f>
        <v>0</v>
      </c>
      <c r="W494" s="17">
        <f>IF(G494="x",H494+J494+L494+N494+O494+P494+Q494+S494+U494+V494,0)</f>
        <v>0</v>
      </c>
    </row>
    <row r="495" spans="1:23" ht="10.5" hidden="1" customHeight="1" x14ac:dyDescent="0.2">
      <c r="A495" s="11"/>
      <c r="B495" s="149">
        <f>COUNTA(Spieltag!K482:AA482)</f>
        <v>0</v>
      </c>
      <c r="C495" s="166">
        <f>Spieltag!A482</f>
        <v>17</v>
      </c>
      <c r="D495" s="21" t="str">
        <f>Spieltag!B482</f>
        <v>Genki Haraguchi (A)</v>
      </c>
      <c r="E495" s="12" t="str">
        <f>Spieltag!C482</f>
        <v>Mittelfeld</v>
      </c>
      <c r="F495" s="152" t="s">
        <v>225</v>
      </c>
      <c r="G495" s="14"/>
      <c r="H495" s="15">
        <f t="shared" si="1477"/>
        <v>0</v>
      </c>
      <c r="I495" s="14"/>
      <c r="J495" s="15">
        <f t="shared" si="1478"/>
        <v>0</v>
      </c>
      <c r="K495" s="14"/>
      <c r="L495" s="15">
        <f t="shared" si="1479"/>
        <v>0</v>
      </c>
      <c r="M495" s="14"/>
      <c r="N495" s="15">
        <f t="shared" si="1480"/>
        <v>0</v>
      </c>
      <c r="O495" s="16">
        <f t="shared" si="1473"/>
        <v>20</v>
      </c>
      <c r="P495" s="16">
        <f t="shared" si="1474"/>
        <v>30</v>
      </c>
      <c r="Q495" s="16">
        <f t="shared" si="1475"/>
        <v>-10</v>
      </c>
      <c r="R495" s="14"/>
      <c r="S495" s="15">
        <f t="shared" si="1481"/>
        <v>0</v>
      </c>
      <c r="T495" s="14"/>
      <c r="U495" s="15">
        <f t="shared" si="1482"/>
        <v>0</v>
      </c>
      <c r="V495" s="16">
        <f t="shared" si="1483"/>
        <v>0</v>
      </c>
      <c r="W495" s="17">
        <f t="shared" si="1484"/>
        <v>0</v>
      </c>
    </row>
    <row r="496" spans="1:23" ht="10.5" hidden="1" customHeight="1" x14ac:dyDescent="0.2">
      <c r="A496" s="11"/>
      <c r="B496" s="149">
        <f>COUNTA(Spieltag!K483:AA483)</f>
        <v>0</v>
      </c>
      <c r="C496" s="166">
        <f>Spieltag!A483</f>
        <v>25</v>
      </c>
      <c r="D496" s="21" t="str">
        <f>Spieltag!B483</f>
        <v>Lilian Egloff</v>
      </c>
      <c r="E496" s="12" t="str">
        <f>Spieltag!C483</f>
        <v>Mittelfeld</v>
      </c>
      <c r="F496" s="152" t="s">
        <v>225</v>
      </c>
      <c r="G496" s="14"/>
      <c r="H496" s="15">
        <f t="shared" si="1477"/>
        <v>0</v>
      </c>
      <c r="I496" s="14"/>
      <c r="J496" s="15">
        <f t="shared" si="1478"/>
        <v>0</v>
      </c>
      <c r="K496" s="14"/>
      <c r="L496" s="15">
        <f t="shared" si="1479"/>
        <v>0</v>
      </c>
      <c r="M496" s="14"/>
      <c r="N496" s="15">
        <f t="shared" si="1480"/>
        <v>0</v>
      </c>
      <c r="O496" s="16">
        <f t="shared" si="1473"/>
        <v>20</v>
      </c>
      <c r="P496" s="16">
        <f t="shared" si="1474"/>
        <v>30</v>
      </c>
      <c r="Q496" s="16">
        <f t="shared" si="1475"/>
        <v>-10</v>
      </c>
      <c r="R496" s="14"/>
      <c r="S496" s="15">
        <f t="shared" si="1481"/>
        <v>0</v>
      </c>
      <c r="T496" s="14"/>
      <c r="U496" s="15">
        <f t="shared" si="1482"/>
        <v>0</v>
      </c>
      <c r="V496" s="16">
        <f t="shared" si="1483"/>
        <v>0</v>
      </c>
      <c r="W496" s="17">
        <f t="shared" si="1484"/>
        <v>0</v>
      </c>
    </row>
    <row r="497" spans="1:23" ht="10.5" customHeight="1" x14ac:dyDescent="0.2">
      <c r="A497" s="11"/>
      <c r="B497" s="149">
        <f>COUNTA(Spieltag!K484:AA484)</f>
        <v>1</v>
      </c>
      <c r="C497" s="166">
        <f>Spieltag!A484</f>
        <v>27</v>
      </c>
      <c r="D497" s="21" t="str">
        <f>Spieltag!B484</f>
        <v>Chris Führich</v>
      </c>
      <c r="E497" s="12" t="str">
        <f>Spieltag!C484</f>
        <v>Mittelfeld</v>
      </c>
      <c r="F497" s="152" t="s">
        <v>225</v>
      </c>
      <c r="G497" s="14" t="s">
        <v>675</v>
      </c>
      <c r="H497" s="15">
        <f t="shared" si="1477"/>
        <v>10</v>
      </c>
      <c r="I497" s="14"/>
      <c r="J497" s="15">
        <f t="shared" si="1478"/>
        <v>0</v>
      </c>
      <c r="K497" s="14"/>
      <c r="L497" s="15">
        <f t="shared" si="1479"/>
        <v>0</v>
      </c>
      <c r="M497" s="14"/>
      <c r="N497" s="15">
        <f t="shared" si="1480"/>
        <v>0</v>
      </c>
      <c r="O497" s="16">
        <f t="shared" si="1473"/>
        <v>20</v>
      </c>
      <c r="P497" s="16">
        <f t="shared" si="1474"/>
        <v>30</v>
      </c>
      <c r="Q497" s="16">
        <f t="shared" si="1475"/>
        <v>-10</v>
      </c>
      <c r="R497" s="14">
        <v>1</v>
      </c>
      <c r="S497" s="15">
        <f t="shared" si="1481"/>
        <v>10</v>
      </c>
      <c r="T497" s="14"/>
      <c r="U497" s="15">
        <f t="shared" si="1482"/>
        <v>0</v>
      </c>
      <c r="V497" s="16">
        <f t="shared" si="1483"/>
        <v>0</v>
      </c>
      <c r="W497" s="17">
        <f t="shared" si="1484"/>
        <v>60</v>
      </c>
    </row>
    <row r="498" spans="1:23" ht="10.5" hidden="1" customHeight="1" x14ac:dyDescent="0.2">
      <c r="A498" s="11"/>
      <c r="B498" s="149">
        <f>COUNTA(Spieltag!K485:AA485)</f>
        <v>0</v>
      </c>
      <c r="C498" s="166">
        <f>Spieltag!A485</f>
        <v>28</v>
      </c>
      <c r="D498" s="21" t="str">
        <f>Spieltag!B485</f>
        <v>Nikolas Nartey (A)</v>
      </c>
      <c r="E498" s="12" t="str">
        <f>Spieltag!C485</f>
        <v>Mittelfeld</v>
      </c>
      <c r="F498" s="152" t="s">
        <v>225</v>
      </c>
      <c r="G498" s="14"/>
      <c r="H498" s="15">
        <f t="shared" si="1477"/>
        <v>0</v>
      </c>
      <c r="I498" s="14"/>
      <c r="J498" s="15">
        <f t="shared" si="1478"/>
        <v>0</v>
      </c>
      <c r="K498" s="14"/>
      <c r="L498" s="15">
        <f t="shared" si="1479"/>
        <v>0</v>
      </c>
      <c r="M498" s="14"/>
      <c r="N498" s="15">
        <f t="shared" si="1480"/>
        <v>0</v>
      </c>
      <c r="O498" s="16">
        <f t="shared" si="1473"/>
        <v>20</v>
      </c>
      <c r="P498" s="16">
        <f t="shared" si="1474"/>
        <v>30</v>
      </c>
      <c r="Q498" s="16">
        <f t="shared" si="1475"/>
        <v>-10</v>
      </c>
      <c r="R498" s="14"/>
      <c r="S498" s="15">
        <f t="shared" si="1481"/>
        <v>0</v>
      </c>
      <c r="T498" s="14"/>
      <c r="U498" s="15">
        <f t="shared" si="1482"/>
        <v>0</v>
      </c>
      <c r="V498" s="16">
        <f t="shared" si="1483"/>
        <v>0</v>
      </c>
      <c r="W498" s="17">
        <f t="shared" si="1484"/>
        <v>0</v>
      </c>
    </row>
    <row r="499" spans="1:23" ht="10.5" hidden="1" customHeight="1" x14ac:dyDescent="0.2">
      <c r="A499" s="11"/>
      <c r="B499" s="149">
        <f>COUNTA(Spieltag!K486:AA486)</f>
        <v>0</v>
      </c>
      <c r="C499" s="166">
        <f>Spieltag!A486</f>
        <v>32</v>
      </c>
      <c r="D499" s="21" t="str">
        <f>Spieltag!B486</f>
        <v>Roberto Massimo</v>
      </c>
      <c r="E499" s="12" t="str">
        <f>Spieltag!C486</f>
        <v>Mittelfeld</v>
      </c>
      <c r="F499" s="152" t="s">
        <v>225</v>
      </c>
      <c r="G499" s="14"/>
      <c r="H499" s="15">
        <f t="shared" si="1477"/>
        <v>0</v>
      </c>
      <c r="I499" s="14"/>
      <c r="J499" s="15">
        <f t="shared" si="1478"/>
        <v>0</v>
      </c>
      <c r="K499" s="14"/>
      <c r="L499" s="15">
        <f t="shared" si="1479"/>
        <v>0</v>
      </c>
      <c r="M499" s="14"/>
      <c r="N499" s="15">
        <f t="shared" si="1480"/>
        <v>0</v>
      </c>
      <c r="O499" s="16">
        <f t="shared" si="1473"/>
        <v>20</v>
      </c>
      <c r="P499" s="16">
        <f t="shared" si="1474"/>
        <v>30</v>
      </c>
      <c r="Q499" s="16">
        <f t="shared" si="1475"/>
        <v>-10</v>
      </c>
      <c r="R499" s="14"/>
      <c r="S499" s="15">
        <f t="shared" si="1481"/>
        <v>0</v>
      </c>
      <c r="T499" s="14"/>
      <c r="U499" s="15">
        <f t="shared" si="1482"/>
        <v>0</v>
      </c>
      <c r="V499" s="16">
        <f t="shared" si="1483"/>
        <v>0</v>
      </c>
      <c r="W499" s="17">
        <f t="shared" si="1484"/>
        <v>0</v>
      </c>
    </row>
    <row r="500" spans="1:23" ht="10.5" hidden="1" customHeight="1" x14ac:dyDescent="0.2">
      <c r="A500" s="11"/>
      <c r="B500" s="149">
        <f>COUNTA(Spieltag!K487:AA487)</f>
        <v>0</v>
      </c>
      <c r="C500" s="166">
        <f>Spieltag!A487</f>
        <v>36</v>
      </c>
      <c r="D500" s="21" t="str">
        <f>Spieltag!B487</f>
        <v>Laurin Ulrich</v>
      </c>
      <c r="E500" s="12" t="str">
        <f>Spieltag!C487</f>
        <v>Mittelfeld</v>
      </c>
      <c r="F500" s="152" t="s">
        <v>225</v>
      </c>
      <c r="G500" s="14"/>
      <c r="H500" s="15">
        <f t="shared" ref="H500:H502" si="1485">IF(G500="x",10,0)</f>
        <v>0</v>
      </c>
      <c r="I500" s="14"/>
      <c r="J500" s="15">
        <f t="shared" ref="J500:J502" si="1486">IF((I500="x"),-10,0)</f>
        <v>0</v>
      </c>
      <c r="K500" s="14"/>
      <c r="L500" s="15">
        <f t="shared" ref="L500:L502" si="1487">IF((K500="x"),-20,0)</f>
        <v>0</v>
      </c>
      <c r="M500" s="14"/>
      <c r="N500" s="15">
        <f t="shared" ref="N500:N502" si="1488">IF((M500="x"),-30,0)</f>
        <v>0</v>
      </c>
      <c r="O500" s="16">
        <f t="shared" si="1473"/>
        <v>20</v>
      </c>
      <c r="P500" s="16">
        <f t="shared" si="1474"/>
        <v>30</v>
      </c>
      <c r="Q500" s="16">
        <f t="shared" si="1475"/>
        <v>-10</v>
      </c>
      <c r="R500" s="14"/>
      <c r="S500" s="15">
        <f t="shared" ref="S500:S502" si="1489">R500*10</f>
        <v>0</v>
      </c>
      <c r="T500" s="14"/>
      <c r="U500" s="15">
        <f t="shared" ref="U500:U502" si="1490">T500*-15</f>
        <v>0</v>
      </c>
      <c r="V500" s="16">
        <f t="shared" ref="V500:V502" si="1491">IF(AND(R500=2),10,IF(R500=3,30,IF(R500=4,50,IF(R500=5,70,0))))</f>
        <v>0</v>
      </c>
      <c r="W500" s="17">
        <f t="shared" ref="W500:W502" si="1492">IF(G500="x",H500+J500+L500+N500+O500+P500+Q500+S500+U500+V500,0)</f>
        <v>0</v>
      </c>
    </row>
    <row r="501" spans="1:23" ht="10.5" hidden="1" customHeight="1" x14ac:dyDescent="0.2">
      <c r="A501" s="11"/>
      <c r="B501" s="149">
        <f>COUNTA(Spieltag!K488:AA488)</f>
        <v>0</v>
      </c>
      <c r="C501" s="166">
        <f>Spieltag!A488</f>
        <v>40</v>
      </c>
      <c r="D501" s="21" t="str">
        <f>Spieltag!B488</f>
        <v>Luca Raimund</v>
      </c>
      <c r="E501" s="12" t="str">
        <f>Spieltag!C488</f>
        <v>Mittelfeld</v>
      </c>
      <c r="F501" s="152" t="s">
        <v>225</v>
      </c>
      <c r="G501" s="14"/>
      <c r="H501" s="15">
        <f t="shared" si="1485"/>
        <v>0</v>
      </c>
      <c r="I501" s="14"/>
      <c r="J501" s="15">
        <f t="shared" si="1486"/>
        <v>0</v>
      </c>
      <c r="K501" s="14"/>
      <c r="L501" s="15">
        <f t="shared" si="1487"/>
        <v>0</v>
      </c>
      <c r="M501" s="14"/>
      <c r="N501" s="15">
        <f t="shared" si="1488"/>
        <v>0</v>
      </c>
      <c r="O501" s="16">
        <f t="shared" si="1473"/>
        <v>20</v>
      </c>
      <c r="P501" s="16">
        <f t="shared" si="1474"/>
        <v>30</v>
      </c>
      <c r="Q501" s="16">
        <f t="shared" si="1475"/>
        <v>-10</v>
      </c>
      <c r="R501" s="14"/>
      <c r="S501" s="15">
        <f t="shared" si="1489"/>
        <v>0</v>
      </c>
      <c r="T501" s="14"/>
      <c r="U501" s="15">
        <f t="shared" si="1490"/>
        <v>0</v>
      </c>
      <c r="V501" s="16">
        <f t="shared" si="1491"/>
        <v>0</v>
      </c>
      <c r="W501" s="17">
        <f t="shared" si="1492"/>
        <v>0</v>
      </c>
    </row>
    <row r="502" spans="1:23" ht="10.5" hidden="1" customHeight="1" x14ac:dyDescent="0.2">
      <c r="A502" s="11"/>
      <c r="B502" s="149">
        <f>COUNTA(Spieltag!K489:AA489)</f>
        <v>0</v>
      </c>
      <c r="C502" s="166">
        <f>Spieltag!A489</f>
        <v>43</v>
      </c>
      <c r="D502" s="21" t="str">
        <f>Spieltag!B489</f>
        <v>Raul Paula</v>
      </c>
      <c r="E502" s="12" t="str">
        <f>Spieltag!C489</f>
        <v>Mittelfeld</v>
      </c>
      <c r="F502" s="152" t="s">
        <v>225</v>
      </c>
      <c r="G502" s="14"/>
      <c r="H502" s="15">
        <f t="shared" si="1485"/>
        <v>0</v>
      </c>
      <c r="I502" s="14"/>
      <c r="J502" s="15">
        <f t="shared" si="1486"/>
        <v>0</v>
      </c>
      <c r="K502" s="14"/>
      <c r="L502" s="15">
        <f t="shared" si="1487"/>
        <v>0</v>
      </c>
      <c r="M502" s="14"/>
      <c r="N502" s="15">
        <f t="shared" si="1488"/>
        <v>0</v>
      </c>
      <c r="O502" s="16">
        <f t="shared" si="1473"/>
        <v>20</v>
      </c>
      <c r="P502" s="16">
        <f t="shared" si="1474"/>
        <v>30</v>
      </c>
      <c r="Q502" s="16">
        <f t="shared" si="1475"/>
        <v>-10</v>
      </c>
      <c r="R502" s="14"/>
      <c r="S502" s="15">
        <f t="shared" si="1489"/>
        <v>0</v>
      </c>
      <c r="T502" s="14"/>
      <c r="U502" s="15">
        <f t="shared" si="1490"/>
        <v>0</v>
      </c>
      <c r="V502" s="16">
        <f t="shared" si="1491"/>
        <v>0</v>
      </c>
      <c r="W502" s="17">
        <f t="shared" si="1492"/>
        <v>0</v>
      </c>
    </row>
    <row r="503" spans="1:23" ht="10.5" hidden="1" customHeight="1" x14ac:dyDescent="0.2">
      <c r="A503" s="11"/>
      <c r="B503" s="149">
        <f>COUNTA(Spieltag!K490:AA490)</f>
        <v>0</v>
      </c>
      <c r="C503" s="166">
        <f>Spieltag!A490</f>
        <v>46</v>
      </c>
      <c r="D503" s="21" t="str">
        <f>Spieltag!B490</f>
        <v>Samuele Di Benedetto</v>
      </c>
      <c r="E503" s="12" t="str">
        <f>Spieltag!C490</f>
        <v>Mittelfeld</v>
      </c>
      <c r="F503" s="152" t="s">
        <v>225</v>
      </c>
      <c r="G503" s="14"/>
      <c r="H503" s="15">
        <f t="shared" si="1477"/>
        <v>0</v>
      </c>
      <c r="I503" s="14"/>
      <c r="J503" s="15">
        <f t="shared" si="1478"/>
        <v>0</v>
      </c>
      <c r="K503" s="14"/>
      <c r="L503" s="15">
        <f t="shared" si="1479"/>
        <v>0</v>
      </c>
      <c r="M503" s="14"/>
      <c r="N503" s="15">
        <f t="shared" si="1480"/>
        <v>0</v>
      </c>
      <c r="O503" s="16">
        <f t="shared" si="1473"/>
        <v>20</v>
      </c>
      <c r="P503" s="16">
        <f t="shared" si="1474"/>
        <v>30</v>
      </c>
      <c r="Q503" s="16">
        <f t="shared" si="1475"/>
        <v>-10</v>
      </c>
      <c r="R503" s="14"/>
      <c r="S503" s="15">
        <f t="shared" si="1481"/>
        <v>0</v>
      </c>
      <c r="T503" s="14"/>
      <c r="U503" s="15">
        <f t="shared" si="1482"/>
        <v>0</v>
      </c>
      <c r="V503" s="16">
        <f t="shared" si="1483"/>
        <v>0</v>
      </c>
      <c r="W503" s="17">
        <f t="shared" si="1484"/>
        <v>0</v>
      </c>
    </row>
    <row r="504" spans="1:23" ht="10.5" hidden="1" customHeight="1" x14ac:dyDescent="0.2">
      <c r="A504" s="11"/>
      <c r="B504" s="149">
        <f>COUNTA(Spieltag!K491:AA491)</f>
        <v>0</v>
      </c>
      <c r="C504" s="166">
        <f>Spieltag!A491</f>
        <v>9</v>
      </c>
      <c r="D504" s="21" t="str">
        <f>Spieltag!B491</f>
        <v>Serhou Guirassy (A)</v>
      </c>
      <c r="E504" s="12" t="str">
        <f>Spieltag!C491</f>
        <v>Sturm</v>
      </c>
      <c r="F504" s="152" t="s">
        <v>225</v>
      </c>
      <c r="G504" s="14"/>
      <c r="H504" s="15">
        <f>IF(G504="x",10,0)</f>
        <v>0</v>
      </c>
      <c r="I504" s="14"/>
      <c r="J504" s="15">
        <f>IF((I504="x"),-10,0)</f>
        <v>0</v>
      </c>
      <c r="K504" s="14"/>
      <c r="L504" s="15">
        <f>IF((K504="x"),-20,0)</f>
        <v>0</v>
      </c>
      <c r="M504" s="14"/>
      <c r="N504" s="15">
        <f>IF((M504="x"),-30,0)</f>
        <v>0</v>
      </c>
      <c r="O504" s="16">
        <f t="shared" ref="O504:O508" si="1493">IF(AND($P$10&gt;$Q$10),20,IF($P$10=$Q$10,10,0))</f>
        <v>20</v>
      </c>
      <c r="P504" s="16">
        <f t="shared" ref="P504:P508" si="1494">IF(($P$10&lt;&gt;0),$P$10*10,-5)</f>
        <v>30</v>
      </c>
      <c r="Q504" s="16">
        <f t="shared" ref="Q504:Q508" si="1495">IF(($Q$10&lt;&gt;0),$Q$10*-10,5)</f>
        <v>-10</v>
      </c>
      <c r="R504" s="14"/>
      <c r="S504" s="15">
        <f>R504*10</f>
        <v>0</v>
      </c>
      <c r="T504" s="14"/>
      <c r="U504" s="15">
        <f>T504*-15</f>
        <v>0</v>
      </c>
      <c r="V504" s="16">
        <f>IF(AND(R504=2),10,IF(R504=3,30,IF(R504=4,50,IF(R504=5,70,0))))</f>
        <v>0</v>
      </c>
      <c r="W504" s="17">
        <f>IF(G504="x",H504+J504+L504+N504+O504+P504+Q504+S504+U504+V504,0)</f>
        <v>0</v>
      </c>
    </row>
    <row r="505" spans="1:23" ht="10.5" hidden="1" customHeight="1" x14ac:dyDescent="0.2">
      <c r="A505" s="11"/>
      <c r="B505" s="149">
        <f>COUNTA(Spieltag!K492:AA492)</f>
        <v>0</v>
      </c>
      <c r="C505" s="166">
        <f>Spieltag!A492</f>
        <v>14</v>
      </c>
      <c r="D505" s="21" t="str">
        <f>Spieltag!B492</f>
        <v>Silas Katompa Mvumpa (A)</v>
      </c>
      <c r="E505" s="12" t="str">
        <f>Spieltag!C492</f>
        <v>Sturm</v>
      </c>
      <c r="F505" s="152" t="s">
        <v>225</v>
      </c>
      <c r="G505" s="14"/>
      <c r="H505" s="15">
        <f t="shared" ref="H505:H508" si="1496">IF(G505="x",10,0)</f>
        <v>0</v>
      </c>
      <c r="I505" s="14"/>
      <c r="J505" s="15">
        <f t="shared" ref="J505:J508" si="1497">IF((I505="x"),-10,0)</f>
        <v>0</v>
      </c>
      <c r="K505" s="14"/>
      <c r="L505" s="15">
        <f t="shared" ref="L505:L508" si="1498">IF((K505="x"),-20,0)</f>
        <v>0</v>
      </c>
      <c r="M505" s="14"/>
      <c r="N505" s="15">
        <f t="shared" ref="N505:N508" si="1499">IF((M505="x"),-30,0)</f>
        <v>0</v>
      </c>
      <c r="O505" s="16">
        <f t="shared" si="1493"/>
        <v>20</v>
      </c>
      <c r="P505" s="16">
        <f t="shared" si="1494"/>
        <v>30</v>
      </c>
      <c r="Q505" s="16">
        <f t="shared" si="1495"/>
        <v>-10</v>
      </c>
      <c r="R505" s="14"/>
      <c r="S505" s="15">
        <f t="shared" ref="S505:S508" si="1500">R505*10</f>
        <v>0</v>
      </c>
      <c r="T505" s="14"/>
      <c r="U505" s="15">
        <f t="shared" ref="U505:U508" si="1501">T505*-15</f>
        <v>0</v>
      </c>
      <c r="V505" s="16">
        <f t="shared" ref="V505:V508" si="1502">IF(AND(R505=2),10,IF(R505=3,30,IF(R505=4,50,IF(R505=5,70,0))))</f>
        <v>0</v>
      </c>
      <c r="W505" s="17">
        <f t="shared" ref="W505:W508" si="1503">IF(G505="x",H505+J505+L505+N505+O505+P505+Q505+S505+U505+V505,0)</f>
        <v>0</v>
      </c>
    </row>
    <row r="506" spans="1:23" ht="10.5" hidden="1" customHeight="1" x14ac:dyDescent="0.2">
      <c r="A506" s="11"/>
      <c r="B506" s="149">
        <f>COUNTA(Spieltag!K493:AA493)</f>
        <v>0</v>
      </c>
      <c r="C506" s="166">
        <f>Spieltag!A493</f>
        <v>18</v>
      </c>
      <c r="D506" s="21" t="str">
        <f>Spieltag!B493</f>
        <v>Jamie Leweling</v>
      </c>
      <c r="E506" s="12" t="str">
        <f>Spieltag!C493</f>
        <v>Sturm</v>
      </c>
      <c r="F506" s="152" t="s">
        <v>225</v>
      </c>
      <c r="G506" s="14"/>
      <c r="H506" s="15">
        <f t="shared" si="1496"/>
        <v>0</v>
      </c>
      <c r="I506" s="14"/>
      <c r="J506" s="15">
        <f t="shared" si="1497"/>
        <v>0</v>
      </c>
      <c r="K506" s="14"/>
      <c r="L506" s="15">
        <f t="shared" si="1498"/>
        <v>0</v>
      </c>
      <c r="M506" s="14"/>
      <c r="N506" s="15">
        <f t="shared" si="1499"/>
        <v>0</v>
      </c>
      <c r="O506" s="16">
        <f t="shared" si="1493"/>
        <v>20</v>
      </c>
      <c r="P506" s="16">
        <f t="shared" si="1494"/>
        <v>30</v>
      </c>
      <c r="Q506" s="16">
        <f t="shared" si="1495"/>
        <v>-10</v>
      </c>
      <c r="R506" s="14"/>
      <c r="S506" s="15">
        <f t="shared" si="1500"/>
        <v>0</v>
      </c>
      <c r="T506" s="14"/>
      <c r="U506" s="15">
        <f t="shared" si="1501"/>
        <v>0</v>
      </c>
      <c r="V506" s="16">
        <f t="shared" si="1502"/>
        <v>0</v>
      </c>
      <c r="W506" s="17">
        <f t="shared" si="1503"/>
        <v>0</v>
      </c>
    </row>
    <row r="507" spans="1:23" ht="10.5" hidden="1" customHeight="1" x14ac:dyDescent="0.2">
      <c r="A507" s="11"/>
      <c r="B507" s="149">
        <f>COUNTA(Spieltag!K494:AA494)</f>
        <v>0</v>
      </c>
      <c r="C507" s="166">
        <f>Spieltag!A494</f>
        <v>19</v>
      </c>
      <c r="D507" s="21" t="str">
        <f>Spieltag!B494</f>
        <v>Jovan Milošević (A)</v>
      </c>
      <c r="E507" s="12" t="str">
        <f>Spieltag!C494</f>
        <v>Sturm</v>
      </c>
      <c r="F507" s="152" t="s">
        <v>225</v>
      </c>
      <c r="G507" s="14"/>
      <c r="H507" s="15">
        <f t="shared" si="1496"/>
        <v>0</v>
      </c>
      <c r="I507" s="14"/>
      <c r="J507" s="15">
        <f t="shared" si="1497"/>
        <v>0</v>
      </c>
      <c r="K507" s="14"/>
      <c r="L507" s="15">
        <f t="shared" si="1498"/>
        <v>0</v>
      </c>
      <c r="M507" s="14"/>
      <c r="N507" s="15">
        <f t="shared" si="1499"/>
        <v>0</v>
      </c>
      <c r="O507" s="16">
        <f t="shared" si="1493"/>
        <v>20</v>
      </c>
      <c r="P507" s="16">
        <f t="shared" si="1494"/>
        <v>30</v>
      </c>
      <c r="Q507" s="16">
        <f t="shared" si="1495"/>
        <v>-10</v>
      </c>
      <c r="R507" s="14"/>
      <c r="S507" s="15">
        <f t="shared" si="1500"/>
        <v>0</v>
      </c>
      <c r="T507" s="14"/>
      <c r="U507" s="15">
        <f t="shared" si="1501"/>
        <v>0</v>
      </c>
      <c r="V507" s="16">
        <f t="shared" si="1502"/>
        <v>0</v>
      </c>
      <c r="W507" s="17">
        <f t="shared" si="1503"/>
        <v>0</v>
      </c>
    </row>
    <row r="508" spans="1:23" ht="10.5" customHeight="1" x14ac:dyDescent="0.2">
      <c r="A508" s="11"/>
      <c r="B508" s="149">
        <f>COUNTA(Spieltag!K495:AA495)</f>
        <v>1</v>
      </c>
      <c r="C508" s="166">
        <f>Spieltag!A495</f>
        <v>26</v>
      </c>
      <c r="D508" s="21" t="str">
        <f>Spieltag!B495</f>
        <v>Deniz Undav</v>
      </c>
      <c r="E508" s="12" t="str">
        <f>Spieltag!C495</f>
        <v>Sturm</v>
      </c>
      <c r="F508" s="152" t="s">
        <v>225</v>
      </c>
      <c r="G508" s="14" t="s">
        <v>675</v>
      </c>
      <c r="H508" s="15">
        <f t="shared" si="1496"/>
        <v>10</v>
      </c>
      <c r="I508" s="14"/>
      <c r="J508" s="15">
        <f t="shared" si="1497"/>
        <v>0</v>
      </c>
      <c r="K508" s="14"/>
      <c r="L508" s="15">
        <f t="shared" si="1498"/>
        <v>0</v>
      </c>
      <c r="M508" s="14"/>
      <c r="N508" s="15">
        <f t="shared" si="1499"/>
        <v>0</v>
      </c>
      <c r="O508" s="16">
        <f t="shared" si="1493"/>
        <v>20</v>
      </c>
      <c r="P508" s="16">
        <f t="shared" si="1494"/>
        <v>30</v>
      </c>
      <c r="Q508" s="16">
        <f t="shared" si="1495"/>
        <v>-10</v>
      </c>
      <c r="R508" s="14">
        <v>1</v>
      </c>
      <c r="S508" s="15">
        <f t="shared" si="1500"/>
        <v>10</v>
      </c>
      <c r="T508" s="14"/>
      <c r="U508" s="15">
        <f t="shared" si="1501"/>
        <v>0</v>
      </c>
      <c r="V508" s="16">
        <f t="shared" si="1502"/>
        <v>0</v>
      </c>
      <c r="W508" s="17">
        <f t="shared" si="1503"/>
        <v>60</v>
      </c>
    </row>
    <row r="509" spans="1:23" s="144" customFormat="1" ht="17.25" hidden="1" thickBot="1" x14ac:dyDescent="0.25">
      <c r="A509" s="142"/>
      <c r="B509" s="143">
        <f>SUM(B510:B537)</f>
        <v>0</v>
      </c>
      <c r="C509" s="158"/>
      <c r="D509" s="234" t="s">
        <v>408</v>
      </c>
      <c r="E509" s="234"/>
      <c r="F509" s="234"/>
      <c r="G509" s="234"/>
      <c r="H509" s="234"/>
      <c r="I509" s="234"/>
      <c r="J509" s="234"/>
      <c r="K509" s="234"/>
      <c r="L509" s="234"/>
      <c r="M509" s="234"/>
      <c r="N509" s="234"/>
      <c r="O509" s="234"/>
      <c r="P509" s="234"/>
      <c r="Q509" s="234"/>
      <c r="R509" s="234"/>
      <c r="S509" s="234"/>
      <c r="T509" s="234"/>
      <c r="U509" s="234"/>
      <c r="V509" s="234"/>
      <c r="W509" s="235"/>
    </row>
    <row r="510" spans="1:23" ht="10.5" hidden="1" customHeight="1" x14ac:dyDescent="0.2">
      <c r="A510" s="11"/>
      <c r="B510" s="149">
        <f>COUNTA(Spieltag!K497:AA497)</f>
        <v>0</v>
      </c>
      <c r="C510" s="166">
        <f>Spieltag!A497</f>
        <v>1</v>
      </c>
      <c r="D510" s="21" t="str">
        <f>Spieltag!B497</f>
        <v>Kevin Müller</v>
      </c>
      <c r="E510" s="12" t="str">
        <f>Spieltag!C497</f>
        <v>Torwart</v>
      </c>
      <c r="F510" s="13" t="s">
        <v>627</v>
      </c>
      <c r="G510" s="14"/>
      <c r="H510" s="15">
        <f>IF(G510="x",10,0)</f>
        <v>0</v>
      </c>
      <c r="I510" s="14"/>
      <c r="J510" s="15">
        <f>IF((I510="x"),-10,0)</f>
        <v>0</v>
      </c>
      <c r="K510" s="14"/>
      <c r="L510" s="15">
        <f>IF((K510="x"),-20,0)</f>
        <v>0</v>
      </c>
      <c r="M510" s="14"/>
      <c r="N510" s="15">
        <f>IF((M510="x"),-30,0)</f>
        <v>0</v>
      </c>
      <c r="O510" s="16">
        <f t="shared" ref="O510:O521" si="1504">IF(AND($V$6&gt;$W$6),20,IF($V$6=$W$6,10,0))</f>
        <v>10</v>
      </c>
      <c r="P510" s="16">
        <f t="shared" ref="P510:P521" si="1505">IF(($V$6&lt;&gt;0),$V$6*10,-5)</f>
        <v>-5</v>
      </c>
      <c r="Q510" s="16">
        <f>IF(($W$6&lt;&gt;0),$W$6*-10,20)</f>
        <v>20</v>
      </c>
      <c r="R510" s="14"/>
      <c r="S510" s="15">
        <f>R510*20</f>
        <v>0</v>
      </c>
      <c r="T510" s="14"/>
      <c r="U510" s="15">
        <f>T510*-15</f>
        <v>0</v>
      </c>
      <c r="V510" s="16">
        <f>IF(AND(R510=2),10,IF(R510=3,30,IF(R510=4,50,IF(R510=5,70,0))))</f>
        <v>0</v>
      </c>
      <c r="W510" s="17">
        <f>IF(G510="x",H510+J510+L510+N510+O510+P510+Q510+S510+U510+V510,0)</f>
        <v>0</v>
      </c>
    </row>
    <row r="511" spans="1:23" ht="10.5" hidden="1" customHeight="1" x14ac:dyDescent="0.2">
      <c r="A511" s="11"/>
      <c r="B511" s="149">
        <f>COUNTA(Spieltag!K498:AA498)</f>
        <v>0</v>
      </c>
      <c r="C511" s="166">
        <f>Spieltag!A498</f>
        <v>22</v>
      </c>
      <c r="D511" s="21" t="str">
        <f>Spieltag!B498</f>
        <v>Vitus Eicher</v>
      </c>
      <c r="E511" s="12" t="str">
        <f>Spieltag!C498</f>
        <v>Torwart</v>
      </c>
      <c r="F511" s="13" t="s">
        <v>627</v>
      </c>
      <c r="G511" s="14"/>
      <c r="H511" s="15">
        <f t="shared" ref="H511:H513" si="1506">IF(G511="x",10,0)</f>
        <v>0</v>
      </c>
      <c r="I511" s="14"/>
      <c r="J511" s="15">
        <f t="shared" ref="J511:J513" si="1507">IF((I511="x"),-10,0)</f>
        <v>0</v>
      </c>
      <c r="K511" s="14"/>
      <c r="L511" s="15">
        <f t="shared" ref="L511:L513" si="1508">IF((K511="x"),-20,0)</f>
        <v>0</v>
      </c>
      <c r="M511" s="14"/>
      <c r="N511" s="15">
        <f t="shared" ref="N511:N513" si="1509">IF((M511="x"),-30,0)</f>
        <v>0</v>
      </c>
      <c r="O511" s="16">
        <f t="shared" si="1504"/>
        <v>10</v>
      </c>
      <c r="P511" s="16">
        <f t="shared" si="1505"/>
        <v>-5</v>
      </c>
      <c r="Q511" s="16">
        <f t="shared" ref="Q511:Q513" si="1510">IF(($W$6&lt;&gt;0),$W$6*-10,20)</f>
        <v>20</v>
      </c>
      <c r="R511" s="14"/>
      <c r="S511" s="15">
        <f t="shared" ref="S511:S513" si="1511">R511*20</f>
        <v>0</v>
      </c>
      <c r="T511" s="14"/>
      <c r="U511" s="15">
        <f t="shared" ref="U511:U513" si="1512">T511*-15</f>
        <v>0</v>
      </c>
      <c r="V511" s="16">
        <f t="shared" ref="V511:V513" si="1513">IF(AND(R511=2),10,IF(R511=3,30,IF(R511=4,50,IF(R511=5,70,0))))</f>
        <v>0</v>
      </c>
      <c r="W511" s="17">
        <f t="shared" ref="W511:W513" si="1514">IF(G511="x",H511+J511+L511+N511+O511+P511+Q511+S511+U511+V511,0)</f>
        <v>0</v>
      </c>
    </row>
    <row r="512" spans="1:23" ht="10.5" hidden="1" customHeight="1" x14ac:dyDescent="0.2">
      <c r="A512" s="11"/>
      <c r="B512" s="149">
        <f>COUNTA(Spieltag!K499:AA499)</f>
        <v>0</v>
      </c>
      <c r="C512" s="166">
        <f>Spieltag!A499</f>
        <v>34</v>
      </c>
      <c r="D512" s="21" t="str">
        <f>Spieltag!B499</f>
        <v>Paul Tschernuth (A)</v>
      </c>
      <c r="E512" s="12" t="str">
        <f>Spieltag!C499</f>
        <v>Torwart</v>
      </c>
      <c r="F512" s="13" t="s">
        <v>627</v>
      </c>
      <c r="G512" s="14"/>
      <c r="H512" s="15">
        <f t="shared" si="1506"/>
        <v>0</v>
      </c>
      <c r="I512" s="14"/>
      <c r="J512" s="15">
        <f t="shared" si="1507"/>
        <v>0</v>
      </c>
      <c r="K512" s="14"/>
      <c r="L512" s="15">
        <f t="shared" si="1508"/>
        <v>0</v>
      </c>
      <c r="M512" s="14"/>
      <c r="N512" s="15">
        <f t="shared" si="1509"/>
        <v>0</v>
      </c>
      <c r="O512" s="16">
        <f t="shared" si="1504"/>
        <v>10</v>
      </c>
      <c r="P512" s="16">
        <f t="shared" si="1505"/>
        <v>-5</v>
      </c>
      <c r="Q512" s="16">
        <f t="shared" si="1510"/>
        <v>20</v>
      </c>
      <c r="R512" s="14"/>
      <c r="S512" s="15">
        <f t="shared" si="1511"/>
        <v>0</v>
      </c>
      <c r="T512" s="14"/>
      <c r="U512" s="15">
        <f t="shared" si="1512"/>
        <v>0</v>
      </c>
      <c r="V512" s="16">
        <f t="shared" si="1513"/>
        <v>0</v>
      </c>
      <c r="W512" s="17">
        <f t="shared" si="1514"/>
        <v>0</v>
      </c>
    </row>
    <row r="513" spans="1:23" ht="10.5" hidden="1" customHeight="1" x14ac:dyDescent="0.2">
      <c r="A513" s="11"/>
      <c r="B513" s="149">
        <f>COUNTA(Spieltag!K500:AA500)</f>
        <v>0</v>
      </c>
      <c r="C513" s="166">
        <f>Spieltag!A500</f>
        <v>40</v>
      </c>
      <c r="D513" s="21" t="str">
        <f>Spieltag!B500</f>
        <v>Frank Feller</v>
      </c>
      <c r="E513" s="12" t="str">
        <f>Spieltag!C500</f>
        <v>Torwart</v>
      </c>
      <c r="F513" s="13" t="s">
        <v>627</v>
      </c>
      <c r="G513" s="14"/>
      <c r="H513" s="15">
        <f t="shared" si="1506"/>
        <v>0</v>
      </c>
      <c r="I513" s="14"/>
      <c r="J513" s="15">
        <f t="shared" si="1507"/>
        <v>0</v>
      </c>
      <c r="K513" s="14"/>
      <c r="L513" s="15">
        <f t="shared" si="1508"/>
        <v>0</v>
      </c>
      <c r="M513" s="14"/>
      <c r="N513" s="15">
        <f t="shared" si="1509"/>
        <v>0</v>
      </c>
      <c r="O513" s="16">
        <f t="shared" si="1504"/>
        <v>10</v>
      </c>
      <c r="P513" s="16">
        <f t="shared" si="1505"/>
        <v>-5</v>
      </c>
      <c r="Q513" s="16">
        <f t="shared" si="1510"/>
        <v>20</v>
      </c>
      <c r="R513" s="14"/>
      <c r="S513" s="15">
        <f t="shared" si="1511"/>
        <v>0</v>
      </c>
      <c r="T513" s="14"/>
      <c r="U513" s="15">
        <f t="shared" si="1512"/>
        <v>0</v>
      </c>
      <c r="V513" s="16">
        <f t="shared" si="1513"/>
        <v>0</v>
      </c>
      <c r="W513" s="17">
        <f t="shared" si="1514"/>
        <v>0</v>
      </c>
    </row>
    <row r="514" spans="1:23" ht="10.5" hidden="1" customHeight="1" x14ac:dyDescent="0.2">
      <c r="A514" s="11"/>
      <c r="B514" s="150">
        <f>COUNTA(Spieltag!K501:AA501)</f>
        <v>0</v>
      </c>
      <c r="C514" s="166">
        <f>Spieltag!A501</f>
        <v>2</v>
      </c>
      <c r="D514" s="21" t="str">
        <f>Spieltag!B501</f>
        <v>Marnon Busch</v>
      </c>
      <c r="E514" s="151" t="str">
        <f>Spieltag!C501</f>
        <v>Abwehr</v>
      </c>
      <c r="F514" s="152" t="s">
        <v>627</v>
      </c>
      <c r="G514" s="153"/>
      <c r="H514" s="154">
        <f t="shared" ref="H514" si="1515">IF(G514="x",10,0)</f>
        <v>0</v>
      </c>
      <c r="I514" s="153"/>
      <c r="J514" s="154">
        <f t="shared" ref="J514" si="1516">IF((I514="x"),-10,0)</f>
        <v>0</v>
      </c>
      <c r="K514" s="153"/>
      <c r="L514" s="154">
        <f t="shared" ref="L514" si="1517">IF((K514="x"),-20,0)</f>
        <v>0</v>
      </c>
      <c r="M514" s="153"/>
      <c r="N514" s="154">
        <f t="shared" ref="N514" si="1518">IF((M514="x"),-30,0)</f>
        <v>0</v>
      </c>
      <c r="O514" s="155">
        <f t="shared" si="1504"/>
        <v>10</v>
      </c>
      <c r="P514" s="155">
        <f t="shared" si="1505"/>
        <v>-5</v>
      </c>
      <c r="Q514" s="155">
        <f t="shared" ref="Q514:Q521" si="1519">IF(($W$6&lt;&gt;0),$W$6*-10,15)</f>
        <v>15</v>
      </c>
      <c r="R514" s="153"/>
      <c r="S514" s="154">
        <f t="shared" ref="S514" si="1520">R514*15</f>
        <v>0</v>
      </c>
      <c r="T514" s="153"/>
      <c r="U514" s="154">
        <f t="shared" ref="U514" si="1521">T514*-15</f>
        <v>0</v>
      </c>
      <c r="V514" s="155">
        <f t="shared" ref="V514" si="1522">IF(AND(R514=2),10,IF(R514=3,30,IF(R514=4,50,IF(R514=5,70,0))))</f>
        <v>0</v>
      </c>
      <c r="W514" s="156">
        <f t="shared" ref="W514" si="1523">IF(G514="x",H514+J514+L514+N514+O514+P514+Q514+S514+U514+V514,0)</f>
        <v>0</v>
      </c>
    </row>
    <row r="515" spans="1:23" ht="10.5" hidden="1" customHeight="1" x14ac:dyDescent="0.2">
      <c r="A515" s="11"/>
      <c r="B515" s="150">
        <f>COUNTA(Spieltag!K502:AA502)</f>
        <v>0</v>
      </c>
      <c r="C515" s="166">
        <f>Spieltag!A502</f>
        <v>4</v>
      </c>
      <c r="D515" s="21" t="str">
        <f>Spieltag!B502</f>
        <v>Tim Siersleben</v>
      </c>
      <c r="E515" s="151" t="str">
        <f>Spieltag!C502</f>
        <v>Abwehr</v>
      </c>
      <c r="F515" s="152" t="s">
        <v>627</v>
      </c>
      <c r="G515" s="153"/>
      <c r="H515" s="154">
        <f t="shared" ref="H515:H521" si="1524">IF(G515="x",10,0)</f>
        <v>0</v>
      </c>
      <c r="I515" s="153"/>
      <c r="J515" s="154">
        <f t="shared" ref="J515:J521" si="1525">IF((I515="x"),-10,0)</f>
        <v>0</v>
      </c>
      <c r="K515" s="153"/>
      <c r="L515" s="154">
        <f t="shared" ref="L515:L521" si="1526">IF((K515="x"),-20,0)</f>
        <v>0</v>
      </c>
      <c r="M515" s="153"/>
      <c r="N515" s="154">
        <f t="shared" ref="N515:N521" si="1527">IF((M515="x"),-30,0)</f>
        <v>0</v>
      </c>
      <c r="O515" s="155">
        <f t="shared" si="1504"/>
        <v>10</v>
      </c>
      <c r="P515" s="155">
        <f t="shared" si="1505"/>
        <v>-5</v>
      </c>
      <c r="Q515" s="155">
        <f t="shared" si="1519"/>
        <v>15</v>
      </c>
      <c r="R515" s="153"/>
      <c r="S515" s="154">
        <f t="shared" ref="S515:S521" si="1528">R515*15</f>
        <v>0</v>
      </c>
      <c r="T515" s="153"/>
      <c r="U515" s="154">
        <f t="shared" ref="U515:U521" si="1529">T515*-15</f>
        <v>0</v>
      </c>
      <c r="V515" s="155">
        <f t="shared" ref="V515:V521" si="1530">IF(AND(R515=2),10,IF(R515=3,30,IF(R515=4,50,IF(R515=5,70,0))))</f>
        <v>0</v>
      </c>
      <c r="W515" s="156">
        <f t="shared" ref="W515:W521" si="1531">IF(G515="x",H515+J515+L515+N515+O515+P515+Q515+S515+U515+V515,0)</f>
        <v>0</v>
      </c>
    </row>
    <row r="516" spans="1:23" ht="10.5" hidden="1" customHeight="1" x14ac:dyDescent="0.2">
      <c r="A516" s="11"/>
      <c r="B516" s="150">
        <f>COUNTA(Spieltag!K503:AA503)</f>
        <v>0</v>
      </c>
      <c r="C516" s="166">
        <f>Spieltag!A503</f>
        <v>6</v>
      </c>
      <c r="D516" s="21" t="str">
        <f>Spieltag!B503</f>
        <v>Patrick Mainka</v>
      </c>
      <c r="E516" s="151" t="str">
        <f>Spieltag!C503</f>
        <v>Abwehr</v>
      </c>
      <c r="F516" s="152" t="s">
        <v>627</v>
      </c>
      <c r="G516" s="153"/>
      <c r="H516" s="154">
        <f t="shared" si="1524"/>
        <v>0</v>
      </c>
      <c r="I516" s="153"/>
      <c r="J516" s="154">
        <f t="shared" si="1525"/>
        <v>0</v>
      </c>
      <c r="K516" s="153"/>
      <c r="L516" s="154">
        <f t="shared" si="1526"/>
        <v>0</v>
      </c>
      <c r="M516" s="153"/>
      <c r="N516" s="154">
        <f t="shared" si="1527"/>
        <v>0</v>
      </c>
      <c r="O516" s="155">
        <f t="shared" si="1504"/>
        <v>10</v>
      </c>
      <c r="P516" s="155">
        <f t="shared" si="1505"/>
        <v>-5</v>
      </c>
      <c r="Q516" s="155">
        <f t="shared" si="1519"/>
        <v>15</v>
      </c>
      <c r="R516" s="153"/>
      <c r="S516" s="154">
        <f t="shared" si="1528"/>
        <v>0</v>
      </c>
      <c r="T516" s="153"/>
      <c r="U516" s="154">
        <f t="shared" si="1529"/>
        <v>0</v>
      </c>
      <c r="V516" s="155">
        <f t="shared" si="1530"/>
        <v>0</v>
      </c>
      <c r="W516" s="156">
        <f t="shared" si="1531"/>
        <v>0</v>
      </c>
    </row>
    <row r="517" spans="1:23" ht="10.5" hidden="1" customHeight="1" x14ac:dyDescent="0.2">
      <c r="A517" s="11"/>
      <c r="B517" s="150">
        <f>COUNTA(Spieltag!K504:AA504)</f>
        <v>0</v>
      </c>
      <c r="C517" s="166">
        <f>Spieltag!A504</f>
        <v>19</v>
      </c>
      <c r="D517" s="21" t="str">
        <f>Spieltag!B504</f>
        <v>Jonas Föhrenbach</v>
      </c>
      <c r="E517" s="151" t="str">
        <f>Spieltag!C504</f>
        <v>Abwehr</v>
      </c>
      <c r="F517" s="152" t="s">
        <v>627</v>
      </c>
      <c r="G517" s="153"/>
      <c r="H517" s="154">
        <f t="shared" si="1524"/>
        <v>0</v>
      </c>
      <c r="I517" s="153"/>
      <c r="J517" s="154">
        <f t="shared" si="1525"/>
        <v>0</v>
      </c>
      <c r="K517" s="153"/>
      <c r="L517" s="154">
        <f t="shared" si="1526"/>
        <v>0</v>
      </c>
      <c r="M517" s="153"/>
      <c r="N517" s="154">
        <f t="shared" si="1527"/>
        <v>0</v>
      </c>
      <c r="O517" s="155">
        <f t="shared" si="1504"/>
        <v>10</v>
      </c>
      <c r="P517" s="155">
        <f t="shared" si="1505"/>
        <v>-5</v>
      </c>
      <c r="Q517" s="155">
        <f t="shared" si="1519"/>
        <v>15</v>
      </c>
      <c r="R517" s="153"/>
      <c r="S517" s="154">
        <f t="shared" si="1528"/>
        <v>0</v>
      </c>
      <c r="T517" s="153"/>
      <c r="U517" s="154">
        <f t="shared" si="1529"/>
        <v>0</v>
      </c>
      <c r="V517" s="155">
        <f t="shared" si="1530"/>
        <v>0</v>
      </c>
      <c r="W517" s="156">
        <f t="shared" si="1531"/>
        <v>0</v>
      </c>
    </row>
    <row r="518" spans="1:23" ht="10.5" hidden="1" customHeight="1" x14ac:dyDescent="0.2">
      <c r="A518" s="11"/>
      <c r="B518" s="150">
        <f>COUNTA(Spieltag!K505:AA505)</f>
        <v>0</v>
      </c>
      <c r="C518" s="166">
        <f>Spieltag!A505</f>
        <v>23</v>
      </c>
      <c r="D518" s="21" t="str">
        <f>Spieltag!B505</f>
        <v>Omar Haktab Traoré</v>
      </c>
      <c r="E518" s="151" t="str">
        <f>Spieltag!C505</f>
        <v>Abwehr</v>
      </c>
      <c r="F518" s="152" t="s">
        <v>627</v>
      </c>
      <c r="G518" s="153"/>
      <c r="H518" s="154">
        <f t="shared" si="1524"/>
        <v>0</v>
      </c>
      <c r="I518" s="153"/>
      <c r="J518" s="154">
        <f t="shared" si="1525"/>
        <v>0</v>
      </c>
      <c r="K518" s="153"/>
      <c r="L518" s="154">
        <f t="shared" si="1526"/>
        <v>0</v>
      </c>
      <c r="M518" s="153"/>
      <c r="N518" s="154">
        <f t="shared" si="1527"/>
        <v>0</v>
      </c>
      <c r="O518" s="155">
        <f t="shared" si="1504"/>
        <v>10</v>
      </c>
      <c r="P518" s="155">
        <f t="shared" si="1505"/>
        <v>-5</v>
      </c>
      <c r="Q518" s="155">
        <f t="shared" si="1519"/>
        <v>15</v>
      </c>
      <c r="R518" s="153"/>
      <c r="S518" s="154">
        <f t="shared" si="1528"/>
        <v>0</v>
      </c>
      <c r="T518" s="153"/>
      <c r="U518" s="154">
        <f t="shared" si="1529"/>
        <v>0</v>
      </c>
      <c r="V518" s="155">
        <f t="shared" si="1530"/>
        <v>0</v>
      </c>
      <c r="W518" s="156">
        <f t="shared" si="1531"/>
        <v>0</v>
      </c>
    </row>
    <row r="519" spans="1:23" ht="10.5" hidden="1" customHeight="1" x14ac:dyDescent="0.2">
      <c r="A519" s="11"/>
      <c r="B519" s="150">
        <f>COUNTA(Spieltag!K506:AA506)</f>
        <v>0</v>
      </c>
      <c r="C519" s="166">
        <f>Spieltag!A506</f>
        <v>27</v>
      </c>
      <c r="D519" s="21" t="str">
        <f>Spieltag!B506</f>
        <v>Thomas Keller</v>
      </c>
      <c r="E519" s="151" t="str">
        <f>Spieltag!C506</f>
        <v>Abwehr</v>
      </c>
      <c r="F519" s="152" t="s">
        <v>627</v>
      </c>
      <c r="G519" s="153"/>
      <c r="H519" s="154">
        <f t="shared" si="1524"/>
        <v>0</v>
      </c>
      <c r="I519" s="153"/>
      <c r="J519" s="154">
        <f t="shared" si="1525"/>
        <v>0</v>
      </c>
      <c r="K519" s="153"/>
      <c r="L519" s="154">
        <f t="shared" si="1526"/>
        <v>0</v>
      </c>
      <c r="M519" s="153"/>
      <c r="N519" s="154">
        <f t="shared" si="1527"/>
        <v>0</v>
      </c>
      <c r="O519" s="155">
        <f t="shared" si="1504"/>
        <v>10</v>
      </c>
      <c r="P519" s="155">
        <f t="shared" si="1505"/>
        <v>-5</v>
      </c>
      <c r="Q519" s="155">
        <f t="shared" si="1519"/>
        <v>15</v>
      </c>
      <c r="R519" s="153"/>
      <c r="S519" s="154">
        <f t="shared" si="1528"/>
        <v>0</v>
      </c>
      <c r="T519" s="153"/>
      <c r="U519" s="154">
        <f t="shared" si="1529"/>
        <v>0</v>
      </c>
      <c r="V519" s="155">
        <f t="shared" si="1530"/>
        <v>0</v>
      </c>
      <c r="W519" s="156">
        <f t="shared" si="1531"/>
        <v>0</v>
      </c>
    </row>
    <row r="520" spans="1:23" ht="10.5" hidden="1" customHeight="1" x14ac:dyDescent="0.2">
      <c r="A520" s="11"/>
      <c r="B520" s="150">
        <f>COUNTA(Spieltag!K507:AA507)</f>
        <v>0</v>
      </c>
      <c r="C520" s="166">
        <f>Spieltag!A507</f>
        <v>29</v>
      </c>
      <c r="D520" s="21" t="str">
        <f>Spieltag!B507</f>
        <v>Seedy Jarju</v>
      </c>
      <c r="E520" s="151" t="str">
        <f>Spieltag!C507</f>
        <v>Abwehr</v>
      </c>
      <c r="F520" s="152" t="s">
        <v>627</v>
      </c>
      <c r="G520" s="153"/>
      <c r="H520" s="154">
        <f t="shared" si="1524"/>
        <v>0</v>
      </c>
      <c r="I520" s="153"/>
      <c r="J520" s="154">
        <f t="shared" si="1525"/>
        <v>0</v>
      </c>
      <c r="K520" s="153"/>
      <c r="L520" s="154">
        <f t="shared" si="1526"/>
        <v>0</v>
      </c>
      <c r="M520" s="153"/>
      <c r="N520" s="154">
        <f t="shared" si="1527"/>
        <v>0</v>
      </c>
      <c r="O520" s="155">
        <f t="shared" si="1504"/>
        <v>10</v>
      </c>
      <c r="P520" s="155">
        <f t="shared" si="1505"/>
        <v>-5</v>
      </c>
      <c r="Q520" s="155">
        <f t="shared" si="1519"/>
        <v>15</v>
      </c>
      <c r="R520" s="153"/>
      <c r="S520" s="154">
        <f t="shared" si="1528"/>
        <v>0</v>
      </c>
      <c r="T520" s="153"/>
      <c r="U520" s="154">
        <f t="shared" si="1529"/>
        <v>0</v>
      </c>
      <c r="V520" s="155">
        <f t="shared" si="1530"/>
        <v>0</v>
      </c>
      <c r="W520" s="156">
        <f t="shared" si="1531"/>
        <v>0</v>
      </c>
    </row>
    <row r="521" spans="1:23" ht="10.5" hidden="1" customHeight="1" x14ac:dyDescent="0.2">
      <c r="A521" s="11"/>
      <c r="B521" s="150">
        <f>COUNTA(Spieltag!K508:AA508)</f>
        <v>0</v>
      </c>
      <c r="C521" s="166">
        <f>Spieltag!A508</f>
        <v>30</v>
      </c>
      <c r="D521" s="21" t="str">
        <f>Spieltag!B508</f>
        <v>Norman Theuerkauf</v>
      </c>
      <c r="E521" s="151" t="str">
        <f>Spieltag!C508</f>
        <v>Abwehr</v>
      </c>
      <c r="F521" s="152" t="s">
        <v>627</v>
      </c>
      <c r="G521" s="153"/>
      <c r="H521" s="154">
        <f t="shared" si="1524"/>
        <v>0</v>
      </c>
      <c r="I521" s="153"/>
      <c r="J521" s="154">
        <f t="shared" si="1525"/>
        <v>0</v>
      </c>
      <c r="K521" s="153"/>
      <c r="L521" s="154">
        <f t="shared" si="1526"/>
        <v>0</v>
      </c>
      <c r="M521" s="153"/>
      <c r="N521" s="154">
        <f t="shared" si="1527"/>
        <v>0</v>
      </c>
      <c r="O521" s="155">
        <f t="shared" si="1504"/>
        <v>10</v>
      </c>
      <c r="P521" s="155">
        <f t="shared" si="1505"/>
        <v>-5</v>
      </c>
      <c r="Q521" s="155">
        <f t="shared" si="1519"/>
        <v>15</v>
      </c>
      <c r="R521" s="153"/>
      <c r="S521" s="154">
        <f t="shared" si="1528"/>
        <v>0</v>
      </c>
      <c r="T521" s="153"/>
      <c r="U521" s="154">
        <f t="shared" si="1529"/>
        <v>0</v>
      </c>
      <c r="V521" s="155">
        <f t="shared" si="1530"/>
        <v>0</v>
      </c>
      <c r="W521" s="156">
        <f t="shared" si="1531"/>
        <v>0</v>
      </c>
    </row>
    <row r="522" spans="1:23" ht="10.5" hidden="1" customHeight="1" x14ac:dyDescent="0.2">
      <c r="A522" s="11"/>
      <c r="B522" s="149">
        <f>COUNTA(Spieltag!K509:AA509)</f>
        <v>0</v>
      </c>
      <c r="C522" s="166">
        <f>Spieltag!A509</f>
        <v>3</v>
      </c>
      <c r="D522" s="21" t="str">
        <f>Spieltag!B509</f>
        <v>Jan Schöppner</v>
      </c>
      <c r="E522" s="12" t="str">
        <f>Spieltag!C509</f>
        <v>Mittelfeld</v>
      </c>
      <c r="F522" s="13" t="s">
        <v>627</v>
      </c>
      <c r="G522" s="14"/>
      <c r="H522" s="15">
        <f t="shared" ref="H522" si="1532">IF(G522="x",10,0)</f>
        <v>0</v>
      </c>
      <c r="I522" s="14"/>
      <c r="J522" s="15">
        <f t="shared" ref="J522" si="1533">IF((I522="x"),-10,0)</f>
        <v>0</v>
      </c>
      <c r="K522" s="14"/>
      <c r="L522" s="15">
        <f t="shared" ref="L522" si="1534">IF((K522="x"),-20,0)</f>
        <v>0</v>
      </c>
      <c r="M522" s="14"/>
      <c r="N522" s="15">
        <f t="shared" ref="N522" si="1535">IF((M522="x"),-30,0)</f>
        <v>0</v>
      </c>
      <c r="O522" s="16">
        <f t="shared" ref="O522:O531" si="1536">IF(AND($V$6&gt;$W$6),20,IF($V$6=$W$6,10,0))</f>
        <v>10</v>
      </c>
      <c r="P522" s="16">
        <f t="shared" ref="P522:P531" si="1537">IF(($V$6&lt;&gt;0),$V$6*10,-5)</f>
        <v>-5</v>
      </c>
      <c r="Q522" s="16">
        <f t="shared" ref="Q522:Q531" si="1538">IF(($W$6&lt;&gt;0),$W$6*-10,10)</f>
        <v>10</v>
      </c>
      <c r="R522" s="14"/>
      <c r="S522" s="15">
        <f t="shared" ref="S522" si="1539">R522*10</f>
        <v>0</v>
      </c>
      <c r="T522" s="14"/>
      <c r="U522" s="15">
        <f t="shared" ref="U522" si="1540">T522*-15</f>
        <v>0</v>
      </c>
      <c r="V522" s="16">
        <f t="shared" ref="V522" si="1541">IF(AND(R522=2),10,IF(R522=3,30,IF(R522=4,50,IF(R522=5,70,0))))</f>
        <v>0</v>
      </c>
      <c r="W522" s="17">
        <f t="shared" ref="W522" si="1542">IF(G522="x",H522+J522+L522+N522+O522+P522+Q522+S522+U522+V522,0)</f>
        <v>0</v>
      </c>
    </row>
    <row r="523" spans="1:23" ht="10.5" hidden="1" customHeight="1" x14ac:dyDescent="0.2">
      <c r="A523" s="11"/>
      <c r="B523" s="149">
        <f>COUNTA(Spieltag!K510:AA510)</f>
        <v>0</v>
      </c>
      <c r="C523" s="166">
        <f>Spieltag!A510</f>
        <v>5</v>
      </c>
      <c r="D523" s="21" t="str">
        <f>Spieltag!B510</f>
        <v>Benedikt Gimber</v>
      </c>
      <c r="E523" s="12" t="str">
        <f>Spieltag!C510</f>
        <v>Mittelfeld</v>
      </c>
      <c r="F523" s="13" t="s">
        <v>627</v>
      </c>
      <c r="G523" s="14"/>
      <c r="H523" s="15">
        <f t="shared" ref="H523:H531" si="1543">IF(G523="x",10,0)</f>
        <v>0</v>
      </c>
      <c r="I523" s="14"/>
      <c r="J523" s="15">
        <f t="shared" ref="J523:J531" si="1544">IF((I523="x"),-10,0)</f>
        <v>0</v>
      </c>
      <c r="K523" s="14"/>
      <c r="L523" s="15">
        <f t="shared" ref="L523:L531" si="1545">IF((K523="x"),-20,0)</f>
        <v>0</v>
      </c>
      <c r="M523" s="14"/>
      <c r="N523" s="15">
        <f t="shared" ref="N523:N531" si="1546">IF((M523="x"),-30,0)</f>
        <v>0</v>
      </c>
      <c r="O523" s="16">
        <f t="shared" si="1536"/>
        <v>10</v>
      </c>
      <c r="P523" s="16">
        <f t="shared" si="1537"/>
        <v>-5</v>
      </c>
      <c r="Q523" s="16">
        <f t="shared" si="1538"/>
        <v>10</v>
      </c>
      <c r="R523" s="14"/>
      <c r="S523" s="15">
        <f t="shared" ref="S523:S531" si="1547">R523*10</f>
        <v>0</v>
      </c>
      <c r="T523" s="14"/>
      <c r="U523" s="15">
        <f t="shared" ref="U523:U531" si="1548">T523*-15</f>
        <v>0</v>
      </c>
      <c r="V523" s="16">
        <f t="shared" ref="V523:V531" si="1549">IF(AND(R523=2),10,IF(R523=3,30,IF(R523=4,50,IF(R523=5,70,0))))</f>
        <v>0</v>
      </c>
      <c r="W523" s="17">
        <f t="shared" ref="W523:W531" si="1550">IF(G523="x",H523+J523+L523+N523+O523+P523+Q523+S523+U523+V523,0)</f>
        <v>0</v>
      </c>
    </row>
    <row r="524" spans="1:23" ht="10.5" hidden="1" customHeight="1" x14ac:dyDescent="0.2">
      <c r="A524" s="11"/>
      <c r="B524" s="149">
        <f>COUNTA(Spieltag!K511:AA511)</f>
        <v>0</v>
      </c>
      <c r="C524" s="166">
        <f>Spieltag!A511</f>
        <v>8</v>
      </c>
      <c r="D524" s="21" t="str">
        <f>Spieltag!B511</f>
        <v>Eren Sami Dinkçi</v>
      </c>
      <c r="E524" s="12" t="str">
        <f>Spieltag!C511</f>
        <v>Mittelfeld</v>
      </c>
      <c r="F524" s="13" t="s">
        <v>627</v>
      </c>
      <c r="G524" s="14"/>
      <c r="H524" s="15">
        <f t="shared" si="1543"/>
        <v>0</v>
      </c>
      <c r="I524" s="14"/>
      <c r="J524" s="15">
        <f t="shared" si="1544"/>
        <v>0</v>
      </c>
      <c r="K524" s="14"/>
      <c r="L524" s="15">
        <f t="shared" si="1545"/>
        <v>0</v>
      </c>
      <c r="M524" s="14"/>
      <c r="N524" s="15">
        <f t="shared" si="1546"/>
        <v>0</v>
      </c>
      <c r="O524" s="16">
        <f t="shared" si="1536"/>
        <v>10</v>
      </c>
      <c r="P524" s="16">
        <f t="shared" si="1537"/>
        <v>-5</v>
      </c>
      <c r="Q524" s="16">
        <f t="shared" si="1538"/>
        <v>10</v>
      </c>
      <c r="R524" s="14"/>
      <c r="S524" s="15">
        <f t="shared" si="1547"/>
        <v>0</v>
      </c>
      <c r="T524" s="14"/>
      <c r="U524" s="15">
        <f t="shared" si="1548"/>
        <v>0</v>
      </c>
      <c r="V524" s="16">
        <f t="shared" si="1549"/>
        <v>0</v>
      </c>
      <c r="W524" s="17">
        <f t="shared" si="1550"/>
        <v>0</v>
      </c>
    </row>
    <row r="525" spans="1:23" ht="10.5" hidden="1" customHeight="1" x14ac:dyDescent="0.2">
      <c r="A525" s="11"/>
      <c r="B525" s="149">
        <f>COUNTA(Spieltag!K512:AA512)</f>
        <v>0</v>
      </c>
      <c r="C525" s="166">
        <f>Spieltag!A512</f>
        <v>11</v>
      </c>
      <c r="D525" s="21" t="str">
        <f>Spieltag!B512</f>
        <v>Denis Thomalla</v>
      </c>
      <c r="E525" s="12" t="str">
        <f>Spieltag!C512</f>
        <v>Mittelfeld</v>
      </c>
      <c r="F525" s="13" t="s">
        <v>627</v>
      </c>
      <c r="G525" s="14"/>
      <c r="H525" s="15">
        <f t="shared" si="1543"/>
        <v>0</v>
      </c>
      <c r="I525" s="14"/>
      <c r="J525" s="15">
        <f t="shared" si="1544"/>
        <v>0</v>
      </c>
      <c r="K525" s="14"/>
      <c r="L525" s="15">
        <f t="shared" si="1545"/>
        <v>0</v>
      </c>
      <c r="M525" s="14"/>
      <c r="N525" s="15">
        <f t="shared" si="1546"/>
        <v>0</v>
      </c>
      <c r="O525" s="16">
        <f t="shared" si="1536"/>
        <v>10</v>
      </c>
      <c r="P525" s="16">
        <f t="shared" si="1537"/>
        <v>-5</v>
      </c>
      <c r="Q525" s="16">
        <f t="shared" si="1538"/>
        <v>10</v>
      </c>
      <c r="R525" s="14"/>
      <c r="S525" s="15">
        <f t="shared" si="1547"/>
        <v>0</v>
      </c>
      <c r="T525" s="14"/>
      <c r="U525" s="15">
        <f t="shared" si="1548"/>
        <v>0</v>
      </c>
      <c r="V525" s="16">
        <f t="shared" si="1549"/>
        <v>0</v>
      </c>
      <c r="W525" s="17">
        <f t="shared" si="1550"/>
        <v>0</v>
      </c>
    </row>
    <row r="526" spans="1:23" ht="10.5" hidden="1" customHeight="1" x14ac:dyDescent="0.2">
      <c r="A526" s="11"/>
      <c r="B526" s="149">
        <f>COUNTA(Spieltag!K513:AA513)</f>
        <v>0</v>
      </c>
      <c r="C526" s="166">
        <f>Spieltag!A513</f>
        <v>16</v>
      </c>
      <c r="D526" s="21" t="str">
        <f>Spieltag!B513</f>
        <v>Kevin Sessa</v>
      </c>
      <c r="E526" s="12" t="str">
        <f>Spieltag!C513</f>
        <v>Mittelfeld</v>
      </c>
      <c r="F526" s="13" t="s">
        <v>627</v>
      </c>
      <c r="G526" s="14"/>
      <c r="H526" s="15">
        <f t="shared" si="1543"/>
        <v>0</v>
      </c>
      <c r="I526" s="14"/>
      <c r="J526" s="15">
        <f t="shared" si="1544"/>
        <v>0</v>
      </c>
      <c r="K526" s="14"/>
      <c r="L526" s="15">
        <f t="shared" si="1545"/>
        <v>0</v>
      </c>
      <c r="M526" s="14"/>
      <c r="N526" s="15">
        <f t="shared" si="1546"/>
        <v>0</v>
      </c>
      <c r="O526" s="16">
        <f t="shared" si="1536"/>
        <v>10</v>
      </c>
      <c r="P526" s="16">
        <f t="shared" si="1537"/>
        <v>-5</v>
      </c>
      <c r="Q526" s="16">
        <f t="shared" si="1538"/>
        <v>10</v>
      </c>
      <c r="R526" s="14"/>
      <c r="S526" s="15">
        <f t="shared" si="1547"/>
        <v>0</v>
      </c>
      <c r="T526" s="14"/>
      <c r="U526" s="15">
        <f t="shared" si="1548"/>
        <v>0</v>
      </c>
      <c r="V526" s="16">
        <f t="shared" si="1549"/>
        <v>0</v>
      </c>
      <c r="W526" s="17">
        <f t="shared" si="1550"/>
        <v>0</v>
      </c>
    </row>
    <row r="527" spans="1:23" ht="10.5" hidden="1" customHeight="1" x14ac:dyDescent="0.2">
      <c r="A527" s="11"/>
      <c r="B527" s="149">
        <f>COUNTA(Spieltag!K514:AA514)</f>
        <v>0</v>
      </c>
      <c r="C527" s="166">
        <f>Spieltag!A514</f>
        <v>17</v>
      </c>
      <c r="D527" s="21" t="str">
        <f>Spieltag!B514</f>
        <v>Florian Pick</v>
      </c>
      <c r="E527" s="12" t="str">
        <f>Spieltag!C514</f>
        <v>Mittelfeld</v>
      </c>
      <c r="F527" s="13" t="s">
        <v>627</v>
      </c>
      <c r="G527" s="14"/>
      <c r="H527" s="15">
        <f t="shared" si="1543"/>
        <v>0</v>
      </c>
      <c r="I527" s="14"/>
      <c r="J527" s="15">
        <f t="shared" si="1544"/>
        <v>0</v>
      </c>
      <c r="K527" s="14"/>
      <c r="L527" s="15">
        <f t="shared" si="1545"/>
        <v>0</v>
      </c>
      <c r="M527" s="14"/>
      <c r="N527" s="15">
        <f t="shared" si="1546"/>
        <v>0</v>
      </c>
      <c r="O527" s="16">
        <f t="shared" si="1536"/>
        <v>10</v>
      </c>
      <c r="P527" s="16">
        <f t="shared" si="1537"/>
        <v>-5</v>
      </c>
      <c r="Q527" s="16">
        <f t="shared" si="1538"/>
        <v>10</v>
      </c>
      <c r="R527" s="14"/>
      <c r="S527" s="15">
        <f t="shared" si="1547"/>
        <v>0</v>
      </c>
      <c r="T527" s="14"/>
      <c r="U527" s="15">
        <f t="shared" si="1548"/>
        <v>0</v>
      </c>
      <c r="V527" s="16">
        <f t="shared" si="1549"/>
        <v>0</v>
      </c>
      <c r="W527" s="17">
        <f t="shared" si="1550"/>
        <v>0</v>
      </c>
    </row>
    <row r="528" spans="1:23" ht="10.5" hidden="1" customHeight="1" x14ac:dyDescent="0.2">
      <c r="A528" s="11"/>
      <c r="B528" s="149">
        <f>COUNTA(Spieltag!K515:AA515)</f>
        <v>0</v>
      </c>
      <c r="C528" s="166">
        <f>Spieltag!A515</f>
        <v>21</v>
      </c>
      <c r="D528" s="21" t="str">
        <f>Spieltag!B515</f>
        <v>Adrian Beck</v>
      </c>
      <c r="E528" s="12" t="str">
        <f>Spieltag!C515</f>
        <v>Mittelfeld</v>
      </c>
      <c r="F528" s="13" t="s">
        <v>627</v>
      </c>
      <c r="G528" s="14"/>
      <c r="H528" s="15">
        <f t="shared" si="1543"/>
        <v>0</v>
      </c>
      <c r="I528" s="14"/>
      <c r="J528" s="15">
        <f t="shared" si="1544"/>
        <v>0</v>
      </c>
      <c r="K528" s="14"/>
      <c r="L528" s="15">
        <f t="shared" si="1545"/>
        <v>0</v>
      </c>
      <c r="M528" s="14"/>
      <c r="N528" s="15">
        <f t="shared" si="1546"/>
        <v>0</v>
      </c>
      <c r="O528" s="16">
        <f t="shared" si="1536"/>
        <v>10</v>
      </c>
      <c r="P528" s="16">
        <f t="shared" si="1537"/>
        <v>-5</v>
      </c>
      <c r="Q528" s="16">
        <f t="shared" si="1538"/>
        <v>10</v>
      </c>
      <c r="R528" s="14"/>
      <c r="S528" s="15">
        <f t="shared" si="1547"/>
        <v>0</v>
      </c>
      <c r="T528" s="14"/>
      <c r="U528" s="15">
        <f t="shared" si="1548"/>
        <v>0</v>
      </c>
      <c r="V528" s="16">
        <f t="shared" si="1549"/>
        <v>0</v>
      </c>
      <c r="W528" s="17">
        <f t="shared" si="1550"/>
        <v>0</v>
      </c>
    </row>
    <row r="529" spans="1:23" ht="10.5" hidden="1" customHeight="1" x14ac:dyDescent="0.2">
      <c r="A529" s="11"/>
      <c r="B529" s="149">
        <f>COUNTA(Spieltag!K516:AA516)</f>
        <v>0</v>
      </c>
      <c r="C529" s="166">
        <f>Spieltag!A516</f>
        <v>33</v>
      </c>
      <c r="D529" s="21" t="str">
        <f>Spieltag!B516</f>
        <v>Lennard Maloney</v>
      </c>
      <c r="E529" s="12" t="str">
        <f>Spieltag!C516</f>
        <v>Mittelfeld</v>
      </c>
      <c r="F529" s="13" t="s">
        <v>627</v>
      </c>
      <c r="G529" s="14"/>
      <c r="H529" s="15">
        <f t="shared" si="1543"/>
        <v>0</v>
      </c>
      <c r="I529" s="14"/>
      <c r="J529" s="15">
        <f t="shared" si="1544"/>
        <v>0</v>
      </c>
      <c r="K529" s="14"/>
      <c r="L529" s="15">
        <f t="shared" si="1545"/>
        <v>0</v>
      </c>
      <c r="M529" s="14"/>
      <c r="N529" s="15">
        <f t="shared" si="1546"/>
        <v>0</v>
      </c>
      <c r="O529" s="16">
        <f t="shared" si="1536"/>
        <v>10</v>
      </c>
      <c r="P529" s="16">
        <f t="shared" si="1537"/>
        <v>-5</v>
      </c>
      <c r="Q529" s="16">
        <f t="shared" si="1538"/>
        <v>10</v>
      </c>
      <c r="R529" s="14"/>
      <c r="S529" s="15">
        <f t="shared" si="1547"/>
        <v>0</v>
      </c>
      <c r="T529" s="14"/>
      <c r="U529" s="15">
        <f t="shared" si="1548"/>
        <v>0</v>
      </c>
      <c r="V529" s="16">
        <f t="shared" si="1549"/>
        <v>0</v>
      </c>
      <c r="W529" s="17">
        <f t="shared" si="1550"/>
        <v>0</v>
      </c>
    </row>
    <row r="530" spans="1:23" ht="10.5" hidden="1" customHeight="1" x14ac:dyDescent="0.2">
      <c r="A530" s="11"/>
      <c r="B530" s="149">
        <f>COUNTA(Spieltag!K517:AA517)</f>
        <v>0</v>
      </c>
      <c r="C530" s="166">
        <f>Spieltag!A517</f>
        <v>36</v>
      </c>
      <c r="D530" s="21" t="str">
        <f>Spieltag!B517</f>
        <v>Luka Janeš</v>
      </c>
      <c r="E530" s="12" t="str">
        <f>Spieltag!C517</f>
        <v>Mittelfeld</v>
      </c>
      <c r="F530" s="13" t="s">
        <v>627</v>
      </c>
      <c r="G530" s="14"/>
      <c r="H530" s="15">
        <f t="shared" si="1543"/>
        <v>0</v>
      </c>
      <c r="I530" s="14"/>
      <c r="J530" s="15">
        <f t="shared" si="1544"/>
        <v>0</v>
      </c>
      <c r="K530" s="14"/>
      <c r="L530" s="15">
        <f t="shared" si="1545"/>
        <v>0</v>
      </c>
      <c r="M530" s="14"/>
      <c r="N530" s="15">
        <f t="shared" si="1546"/>
        <v>0</v>
      </c>
      <c r="O530" s="16">
        <f t="shared" si="1536"/>
        <v>10</v>
      </c>
      <c r="P530" s="16">
        <f t="shared" si="1537"/>
        <v>-5</v>
      </c>
      <c r="Q530" s="16">
        <f t="shared" si="1538"/>
        <v>10</v>
      </c>
      <c r="R530" s="14"/>
      <c r="S530" s="15">
        <f t="shared" si="1547"/>
        <v>0</v>
      </c>
      <c r="T530" s="14"/>
      <c r="U530" s="15">
        <f t="shared" si="1548"/>
        <v>0</v>
      </c>
      <c r="V530" s="16">
        <f t="shared" si="1549"/>
        <v>0</v>
      </c>
      <c r="W530" s="17">
        <f t="shared" si="1550"/>
        <v>0</v>
      </c>
    </row>
    <row r="531" spans="1:23" ht="10.5" hidden="1" customHeight="1" x14ac:dyDescent="0.2">
      <c r="A531" s="11"/>
      <c r="B531" s="149">
        <f>COUNTA(Spieltag!K518:AA518)</f>
        <v>0</v>
      </c>
      <c r="C531" s="166">
        <f>Spieltag!A518</f>
        <v>37</v>
      </c>
      <c r="D531" s="21" t="str">
        <f>Spieltag!B518</f>
        <v>Jan-Niklas Beste</v>
      </c>
      <c r="E531" s="12" t="str">
        <f>Spieltag!C518</f>
        <v>Mittelfeld</v>
      </c>
      <c r="F531" s="13" t="s">
        <v>627</v>
      </c>
      <c r="G531" s="14"/>
      <c r="H531" s="15">
        <f t="shared" si="1543"/>
        <v>0</v>
      </c>
      <c r="I531" s="14"/>
      <c r="J531" s="15">
        <f t="shared" si="1544"/>
        <v>0</v>
      </c>
      <c r="K531" s="14"/>
      <c r="L531" s="15">
        <f t="shared" si="1545"/>
        <v>0</v>
      </c>
      <c r="M531" s="14"/>
      <c r="N531" s="15">
        <f t="shared" si="1546"/>
        <v>0</v>
      </c>
      <c r="O531" s="16">
        <f t="shared" si="1536"/>
        <v>10</v>
      </c>
      <c r="P531" s="16">
        <f t="shared" si="1537"/>
        <v>-5</v>
      </c>
      <c r="Q531" s="16">
        <f t="shared" si="1538"/>
        <v>10</v>
      </c>
      <c r="R531" s="14"/>
      <c r="S531" s="15">
        <f t="shared" si="1547"/>
        <v>0</v>
      </c>
      <c r="T531" s="14"/>
      <c r="U531" s="15">
        <f t="shared" si="1548"/>
        <v>0</v>
      </c>
      <c r="V531" s="16">
        <f t="shared" si="1549"/>
        <v>0</v>
      </c>
      <c r="W531" s="17">
        <f t="shared" si="1550"/>
        <v>0</v>
      </c>
    </row>
    <row r="532" spans="1:23" ht="10.5" hidden="1" customHeight="1" x14ac:dyDescent="0.2">
      <c r="A532" s="11"/>
      <c r="B532" s="149">
        <f>COUNTA(Spieltag!K519:AA519)</f>
        <v>0</v>
      </c>
      <c r="C532" s="166">
        <f>Spieltag!A519</f>
        <v>9</v>
      </c>
      <c r="D532" s="21" t="str">
        <f>Spieltag!B519</f>
        <v>Stefan Schimmer</v>
      </c>
      <c r="E532" s="12" t="str">
        <f>Spieltag!C519</f>
        <v>Sturm</v>
      </c>
      <c r="F532" s="13" t="s">
        <v>627</v>
      </c>
      <c r="G532" s="14"/>
      <c r="H532" s="15">
        <f t="shared" ref="H532" si="1551">IF(G532="x",10,0)</f>
        <v>0</v>
      </c>
      <c r="I532" s="14"/>
      <c r="J532" s="15">
        <f t="shared" ref="J532" si="1552">IF((I532="x"),-10,0)</f>
        <v>0</v>
      </c>
      <c r="K532" s="14"/>
      <c r="L532" s="15">
        <f t="shared" ref="L532" si="1553">IF((K532="x"),-20,0)</f>
        <v>0</v>
      </c>
      <c r="M532" s="14"/>
      <c r="N532" s="15">
        <f t="shared" ref="N532" si="1554">IF((M532="x"),-30,0)</f>
        <v>0</v>
      </c>
      <c r="O532" s="16">
        <f>IF(AND($V$6&gt;$W$6),20,IF($V$6=$W$6,10,0))</f>
        <v>10</v>
      </c>
      <c r="P532" s="16">
        <f>IF(($V$6&lt;&gt;0),$V$6*10,-5)</f>
        <v>-5</v>
      </c>
      <c r="Q532" s="16">
        <f>IF(($W$6&lt;&gt;0),$W$6*-10,5)</f>
        <v>5</v>
      </c>
      <c r="R532" s="14"/>
      <c r="S532" s="15">
        <f t="shared" ref="S532" si="1555">R532*10</f>
        <v>0</v>
      </c>
      <c r="T532" s="14"/>
      <c r="U532" s="15">
        <f t="shared" ref="U532" si="1556">T532*-15</f>
        <v>0</v>
      </c>
      <c r="V532" s="16">
        <f t="shared" ref="V532" si="1557">IF(AND(R532=2),10,IF(R532=3,30,IF(R532=4,50,IF(R532=5,70,0))))</f>
        <v>0</v>
      </c>
      <c r="W532" s="17">
        <f t="shared" ref="W532" si="1558">IF(G532="x",H532+J532+L532+N532+O532+P532+Q532+S532+U532+V532,0)</f>
        <v>0</v>
      </c>
    </row>
    <row r="533" spans="1:23" ht="10.5" hidden="1" customHeight="1" x14ac:dyDescent="0.2">
      <c r="A533" s="11"/>
      <c r="B533" s="149">
        <f>COUNTA(Spieltag!K520:AA520)</f>
        <v>0</v>
      </c>
      <c r="C533" s="166">
        <f>Spieltag!A520</f>
        <v>10</v>
      </c>
      <c r="D533" s="21" t="str">
        <f>Spieltag!B520</f>
        <v>Tim Kleindienst</v>
      </c>
      <c r="E533" s="12" t="str">
        <f>Spieltag!C520</f>
        <v>Sturm</v>
      </c>
      <c r="F533" s="13" t="s">
        <v>627</v>
      </c>
      <c r="G533" s="14"/>
      <c r="H533" s="15">
        <f t="shared" ref="H533" si="1559">IF(G533="x",10,0)</f>
        <v>0</v>
      </c>
      <c r="I533" s="14"/>
      <c r="J533" s="15">
        <f t="shared" ref="J533" si="1560">IF((I533="x"),-10,0)</f>
        <v>0</v>
      </c>
      <c r="K533" s="14"/>
      <c r="L533" s="15">
        <f t="shared" ref="L533" si="1561">IF((K533="x"),-20,0)</f>
        <v>0</v>
      </c>
      <c r="M533" s="14"/>
      <c r="N533" s="15">
        <f t="shared" ref="N533" si="1562">IF((M533="x"),-30,0)</f>
        <v>0</v>
      </c>
      <c r="O533" s="16">
        <f t="shared" ref="O533:O537" si="1563">IF(AND($V$6&gt;$W$6),20,IF($V$6=$W$6,10,0))</f>
        <v>10</v>
      </c>
      <c r="P533" s="16">
        <f t="shared" ref="P533:P537" si="1564">IF(($V$6&lt;&gt;0),$V$6*10,-5)</f>
        <v>-5</v>
      </c>
      <c r="Q533" s="16">
        <f t="shared" ref="Q533:Q537" si="1565">IF(($W$6&lt;&gt;0),$W$6*-10,5)</f>
        <v>5</v>
      </c>
      <c r="R533" s="14"/>
      <c r="S533" s="15">
        <f t="shared" ref="S533" si="1566">R533*10</f>
        <v>0</v>
      </c>
      <c r="T533" s="14"/>
      <c r="U533" s="15">
        <f t="shared" ref="U533" si="1567">T533*-15</f>
        <v>0</v>
      </c>
      <c r="V533" s="16">
        <f t="shared" ref="V533" si="1568">IF(AND(R533=2),10,IF(R533=3,30,IF(R533=4,50,IF(R533=5,70,0))))</f>
        <v>0</v>
      </c>
      <c r="W533" s="17">
        <f t="shared" ref="W533" si="1569">IF(G533="x",H533+J533+L533+N533+O533+P533+Q533+S533+U533+V533,0)</f>
        <v>0</v>
      </c>
    </row>
    <row r="534" spans="1:23" ht="10.5" hidden="1" customHeight="1" x14ac:dyDescent="0.2">
      <c r="A534" s="11"/>
      <c r="B534" s="149">
        <f>COUNTA(Spieltag!K521:AA521)</f>
        <v>0</v>
      </c>
      <c r="C534" s="166">
        <f>Spieltag!A521</f>
        <v>18</v>
      </c>
      <c r="D534" s="21" t="str">
        <f>Spieltag!B521</f>
        <v>Marvin Pieringer</v>
      </c>
      <c r="E534" s="12" t="str">
        <f>Spieltag!C521</f>
        <v>Sturm</v>
      </c>
      <c r="F534" s="13" t="s">
        <v>627</v>
      </c>
      <c r="G534" s="14"/>
      <c r="H534" s="15">
        <f t="shared" ref="H534:H537" si="1570">IF(G534="x",10,0)</f>
        <v>0</v>
      </c>
      <c r="I534" s="14"/>
      <c r="J534" s="15">
        <f t="shared" ref="J534:J537" si="1571">IF((I534="x"),-10,0)</f>
        <v>0</v>
      </c>
      <c r="K534" s="14"/>
      <c r="L534" s="15">
        <f t="shared" ref="L534:L537" si="1572">IF((K534="x"),-20,0)</f>
        <v>0</v>
      </c>
      <c r="M534" s="14"/>
      <c r="N534" s="15">
        <f t="shared" ref="N534:N537" si="1573">IF((M534="x"),-30,0)</f>
        <v>0</v>
      </c>
      <c r="O534" s="16">
        <f t="shared" si="1563"/>
        <v>10</v>
      </c>
      <c r="P534" s="16">
        <f t="shared" si="1564"/>
        <v>-5</v>
      </c>
      <c r="Q534" s="16">
        <f t="shared" si="1565"/>
        <v>5</v>
      </c>
      <c r="R534" s="14"/>
      <c r="S534" s="15">
        <f t="shared" ref="S534:S537" si="1574">R534*10</f>
        <v>0</v>
      </c>
      <c r="T534" s="14"/>
      <c r="U534" s="15">
        <f t="shared" ref="U534:U537" si="1575">T534*-15</f>
        <v>0</v>
      </c>
      <c r="V534" s="16">
        <f t="shared" ref="V534:V537" si="1576">IF(AND(R534=2),10,IF(R534=3,30,IF(R534=4,50,IF(R534=5,70,0))))</f>
        <v>0</v>
      </c>
      <c r="W534" s="17">
        <f t="shared" ref="W534:W537" si="1577">IF(G534="x",H534+J534+L534+N534+O534+P534+Q534+S534+U534+V534,0)</f>
        <v>0</v>
      </c>
    </row>
    <row r="535" spans="1:23" ht="10.5" hidden="1" customHeight="1" x14ac:dyDescent="0.2">
      <c r="A535" s="11"/>
      <c r="B535" s="149">
        <f>COUNTA(Spieltag!K522:AA522)</f>
        <v>0</v>
      </c>
      <c r="C535" s="166">
        <f>Spieltag!A522</f>
        <v>20</v>
      </c>
      <c r="D535" s="21" t="str">
        <f>Spieltag!B522</f>
        <v>Nikola Dovedan (A)</v>
      </c>
      <c r="E535" s="12" t="str">
        <f>Spieltag!C522</f>
        <v>Sturm</v>
      </c>
      <c r="F535" s="13" t="s">
        <v>627</v>
      </c>
      <c r="G535" s="14"/>
      <c r="H535" s="15">
        <f t="shared" si="1570"/>
        <v>0</v>
      </c>
      <c r="I535" s="14"/>
      <c r="J535" s="15">
        <f t="shared" si="1571"/>
        <v>0</v>
      </c>
      <c r="K535" s="14"/>
      <c r="L535" s="15">
        <f t="shared" si="1572"/>
        <v>0</v>
      </c>
      <c r="M535" s="14"/>
      <c r="N535" s="15">
        <f t="shared" si="1573"/>
        <v>0</v>
      </c>
      <c r="O535" s="16">
        <f t="shared" si="1563"/>
        <v>10</v>
      </c>
      <c r="P535" s="16">
        <f t="shared" si="1564"/>
        <v>-5</v>
      </c>
      <c r="Q535" s="16">
        <f t="shared" si="1565"/>
        <v>5</v>
      </c>
      <c r="R535" s="14"/>
      <c r="S535" s="15">
        <f t="shared" si="1574"/>
        <v>0</v>
      </c>
      <c r="T535" s="14"/>
      <c r="U535" s="15">
        <f t="shared" si="1575"/>
        <v>0</v>
      </c>
      <c r="V535" s="16">
        <f t="shared" si="1576"/>
        <v>0</v>
      </c>
      <c r="W535" s="17">
        <f t="shared" si="1577"/>
        <v>0</v>
      </c>
    </row>
    <row r="536" spans="1:23" ht="10.5" hidden="1" customHeight="1" x14ac:dyDescent="0.2">
      <c r="A536" s="11"/>
      <c r="B536" s="149">
        <f>COUNTA(Spieltag!K523:AA523)</f>
        <v>0</v>
      </c>
      <c r="C536" s="166">
        <f>Spieltag!A523</f>
        <v>24</v>
      </c>
      <c r="D536" s="21" t="str">
        <f>Spieltag!B523</f>
        <v>Christian Kühlwetter</v>
      </c>
      <c r="E536" s="12" t="str">
        <f>Spieltag!C523</f>
        <v>Sturm</v>
      </c>
      <c r="F536" s="13" t="s">
        <v>627</v>
      </c>
      <c r="G536" s="14"/>
      <c r="H536" s="15">
        <f t="shared" ref="H536" si="1578">IF(G536="x",10,0)</f>
        <v>0</v>
      </c>
      <c r="I536" s="14"/>
      <c r="J536" s="15">
        <f t="shared" ref="J536" si="1579">IF((I536="x"),-10,0)</f>
        <v>0</v>
      </c>
      <c r="K536" s="14"/>
      <c r="L536" s="15">
        <f t="shared" ref="L536" si="1580">IF((K536="x"),-20,0)</f>
        <v>0</v>
      </c>
      <c r="M536" s="14"/>
      <c r="N536" s="15">
        <f t="shared" ref="N536" si="1581">IF((M536="x"),-30,0)</f>
        <v>0</v>
      </c>
      <c r="O536" s="16">
        <f t="shared" si="1563"/>
        <v>10</v>
      </c>
      <c r="P536" s="16">
        <f t="shared" si="1564"/>
        <v>-5</v>
      </c>
      <c r="Q536" s="16">
        <f t="shared" si="1565"/>
        <v>5</v>
      </c>
      <c r="R536" s="14"/>
      <c r="S536" s="15">
        <f t="shared" ref="S536" si="1582">R536*10</f>
        <v>0</v>
      </c>
      <c r="T536" s="14"/>
      <c r="U536" s="15">
        <f t="shared" ref="U536" si="1583">T536*-15</f>
        <v>0</v>
      </c>
      <c r="V536" s="16">
        <f t="shared" ref="V536" si="1584">IF(AND(R536=2),10,IF(R536=3,30,IF(R536=4,50,IF(R536=5,70,0))))</f>
        <v>0</v>
      </c>
      <c r="W536" s="17">
        <f t="shared" ref="W536" si="1585">IF(G536="x",H536+J536+L536+N536+O536+P536+Q536+S536+U536+V536,0)</f>
        <v>0</v>
      </c>
    </row>
    <row r="537" spans="1:23" ht="10.5" hidden="1" customHeight="1" x14ac:dyDescent="0.2">
      <c r="A537" s="11"/>
      <c r="B537" s="149">
        <f>COUNTA(Spieltag!K524:AA524)</f>
        <v>0</v>
      </c>
      <c r="C537" s="166">
        <f>Spieltag!A524</f>
        <v>44</v>
      </c>
      <c r="D537" s="21" t="str">
        <f>Spieltag!B524</f>
        <v>Elidon Qenaj</v>
      </c>
      <c r="E537" s="12" t="str">
        <f>Spieltag!C524</f>
        <v>Sturm</v>
      </c>
      <c r="F537" s="13" t="s">
        <v>627</v>
      </c>
      <c r="G537" s="14"/>
      <c r="H537" s="15">
        <f t="shared" si="1570"/>
        <v>0</v>
      </c>
      <c r="I537" s="14"/>
      <c r="J537" s="15">
        <f t="shared" si="1571"/>
        <v>0</v>
      </c>
      <c r="K537" s="14"/>
      <c r="L537" s="15">
        <f t="shared" si="1572"/>
        <v>0</v>
      </c>
      <c r="M537" s="14"/>
      <c r="N537" s="15">
        <f t="shared" si="1573"/>
        <v>0</v>
      </c>
      <c r="O537" s="16">
        <f t="shared" si="1563"/>
        <v>10</v>
      </c>
      <c r="P537" s="16">
        <f t="shared" si="1564"/>
        <v>-5</v>
      </c>
      <c r="Q537" s="16">
        <f t="shared" si="1565"/>
        <v>5</v>
      </c>
      <c r="R537" s="14"/>
      <c r="S537" s="15">
        <f t="shared" si="1574"/>
        <v>0</v>
      </c>
      <c r="T537" s="14"/>
      <c r="U537" s="15">
        <f t="shared" si="1575"/>
        <v>0</v>
      </c>
      <c r="V537" s="16">
        <f t="shared" si="1576"/>
        <v>0</v>
      </c>
      <c r="W537" s="17">
        <f t="shared" si="1577"/>
        <v>0</v>
      </c>
    </row>
    <row r="538" spans="1:23" s="144" customFormat="1" ht="17.25" hidden="1" thickBot="1" x14ac:dyDescent="0.25">
      <c r="A538" s="142"/>
      <c r="B538" s="143">
        <f>SUM(B539:B568)</f>
        <v>0</v>
      </c>
      <c r="C538" s="158"/>
      <c r="D538" s="234" t="s">
        <v>409</v>
      </c>
      <c r="E538" s="234"/>
      <c r="F538" s="234"/>
      <c r="G538" s="234"/>
      <c r="H538" s="234"/>
      <c r="I538" s="234"/>
      <c r="J538" s="234"/>
      <c r="K538" s="234"/>
      <c r="L538" s="234"/>
      <c r="M538" s="234"/>
      <c r="N538" s="234"/>
      <c r="O538" s="234"/>
      <c r="P538" s="234"/>
      <c r="Q538" s="234"/>
      <c r="R538" s="234"/>
      <c r="S538" s="234"/>
      <c r="T538" s="234"/>
      <c r="U538" s="234"/>
      <c r="V538" s="234"/>
      <c r="W538" s="235"/>
    </row>
    <row r="539" spans="1:23" ht="10.5" hidden="1" customHeight="1" x14ac:dyDescent="0.2">
      <c r="A539" s="11"/>
      <c r="B539" s="149">
        <f>COUNTA(Spieltag!K526:AA526)</f>
        <v>0</v>
      </c>
      <c r="C539" s="166">
        <f>Spieltag!A526</f>
        <v>1</v>
      </c>
      <c r="D539" s="21" t="str">
        <f>Spieltag!B526</f>
        <v>Marcel Schuhen</v>
      </c>
      <c r="E539" s="12" t="str">
        <f>Spieltag!C526</f>
        <v>Torwart</v>
      </c>
      <c r="F539" s="13" t="s">
        <v>628</v>
      </c>
      <c r="G539" s="14"/>
      <c r="H539" s="15">
        <f t="shared" ref="H539" si="1586">IF(G539="x",10,0)</f>
        <v>0</v>
      </c>
      <c r="I539" s="14"/>
      <c r="J539" s="15">
        <f t="shared" ref="J539" si="1587">IF((I539="x"),-10,0)</f>
        <v>0</v>
      </c>
      <c r="K539" s="14"/>
      <c r="L539" s="15">
        <f t="shared" ref="L539" si="1588">IF((K539="x"),-20,0)</f>
        <v>0</v>
      </c>
      <c r="M539" s="14"/>
      <c r="N539" s="15">
        <f t="shared" ref="N539" si="1589">IF((M539="x"),-30,0)</f>
        <v>0</v>
      </c>
      <c r="O539" s="16">
        <f t="shared" ref="O539:O561" si="1590">IF(AND($P$7&gt;$Q$7),20,IF($P$7=$Q$7,10,0))</f>
        <v>0</v>
      </c>
      <c r="P539" s="16">
        <f t="shared" ref="P539:P561" si="1591">IF(($P$7&lt;&gt;0),$P$7*10,-5)</f>
        <v>-5</v>
      </c>
      <c r="Q539" s="16">
        <f t="shared" ref="Q539:Q542" si="1592">IF(($Q$7&lt;&gt;0),$Q$7*-10,20)</f>
        <v>-20</v>
      </c>
      <c r="R539" s="14"/>
      <c r="S539" s="15">
        <f t="shared" ref="S539" si="1593">R539*20</f>
        <v>0</v>
      </c>
      <c r="T539" s="14"/>
      <c r="U539" s="15">
        <f t="shared" ref="U539" si="1594">T539*-15</f>
        <v>0</v>
      </c>
      <c r="V539" s="16">
        <f t="shared" ref="V539" si="1595">IF(AND(R539=2),10,IF(R539=3,30,IF(R539=4,50,IF(R539=5,70,0))))</f>
        <v>0</v>
      </c>
      <c r="W539" s="17">
        <f t="shared" ref="W539" si="1596">IF(G539="x",H539+J539+L539+N539+O539+P539+Q539+S539+U539+V539,0)</f>
        <v>0</v>
      </c>
    </row>
    <row r="540" spans="1:23" ht="10.5" hidden="1" customHeight="1" x14ac:dyDescent="0.2">
      <c r="A540" s="11"/>
      <c r="B540" s="149">
        <f>COUNTA(Spieltag!K527:AA527)</f>
        <v>0</v>
      </c>
      <c r="C540" s="166">
        <f>Spieltag!A527</f>
        <v>13</v>
      </c>
      <c r="D540" s="21" t="str">
        <f>Spieltag!B527</f>
        <v>Morten Behrens</v>
      </c>
      <c r="E540" s="12" t="str">
        <f>Spieltag!C527</f>
        <v>Torwart</v>
      </c>
      <c r="F540" s="13" t="s">
        <v>628</v>
      </c>
      <c r="G540" s="14"/>
      <c r="H540" s="15">
        <f t="shared" ref="H540:H541" si="1597">IF(G540="x",10,0)</f>
        <v>0</v>
      </c>
      <c r="I540" s="14"/>
      <c r="J540" s="15">
        <f t="shared" ref="J540:J541" si="1598">IF((I540="x"),-10,0)</f>
        <v>0</v>
      </c>
      <c r="K540" s="14"/>
      <c r="L540" s="15">
        <f t="shared" ref="L540:L541" si="1599">IF((K540="x"),-20,0)</f>
        <v>0</v>
      </c>
      <c r="M540" s="14"/>
      <c r="N540" s="15">
        <f t="shared" ref="N540:N541" si="1600">IF((M540="x"),-30,0)</f>
        <v>0</v>
      </c>
      <c r="O540" s="16">
        <f t="shared" si="1590"/>
        <v>0</v>
      </c>
      <c r="P540" s="16">
        <f t="shared" si="1591"/>
        <v>-5</v>
      </c>
      <c r="Q540" s="16">
        <f t="shared" si="1592"/>
        <v>-20</v>
      </c>
      <c r="R540" s="14"/>
      <c r="S540" s="15">
        <f t="shared" ref="S540:S541" si="1601">R540*20</f>
        <v>0</v>
      </c>
      <c r="T540" s="14"/>
      <c r="U540" s="15">
        <f t="shared" ref="U540:U541" si="1602">T540*-15</f>
        <v>0</v>
      </c>
      <c r="V540" s="16">
        <f t="shared" ref="V540:V541" si="1603">IF(AND(R540=2),10,IF(R540=3,30,IF(R540=4,50,IF(R540=5,70,0))))</f>
        <v>0</v>
      </c>
      <c r="W540" s="17">
        <f t="shared" ref="W540:W541" si="1604">IF(G540="x",H540+J540+L540+N540+O540+P540+Q540+S540+U540+V540,0)</f>
        <v>0</v>
      </c>
    </row>
    <row r="541" spans="1:23" ht="10.5" hidden="1" customHeight="1" x14ac:dyDescent="0.2">
      <c r="A541" s="11"/>
      <c r="B541" s="149">
        <f>COUNTA(Spieltag!K528:AA528)</f>
        <v>0</v>
      </c>
      <c r="C541" s="166">
        <f>Spieltag!A528</f>
        <v>30</v>
      </c>
      <c r="D541" s="21" t="str">
        <f>Spieltag!B528</f>
        <v>Alexander Brunst</v>
      </c>
      <c r="E541" s="12" t="str">
        <f>Spieltag!C528</f>
        <v>Torwart</v>
      </c>
      <c r="F541" s="13" t="s">
        <v>628</v>
      </c>
      <c r="G541" s="14"/>
      <c r="H541" s="15">
        <f t="shared" si="1597"/>
        <v>0</v>
      </c>
      <c r="I541" s="14"/>
      <c r="J541" s="15">
        <f t="shared" si="1598"/>
        <v>0</v>
      </c>
      <c r="K541" s="14"/>
      <c r="L541" s="15">
        <f t="shared" si="1599"/>
        <v>0</v>
      </c>
      <c r="M541" s="14"/>
      <c r="N541" s="15">
        <f t="shared" si="1600"/>
        <v>0</v>
      </c>
      <c r="O541" s="16">
        <f t="shared" si="1590"/>
        <v>0</v>
      </c>
      <c r="P541" s="16">
        <f t="shared" si="1591"/>
        <v>-5</v>
      </c>
      <c r="Q541" s="16">
        <f t="shared" si="1592"/>
        <v>-20</v>
      </c>
      <c r="R541" s="14"/>
      <c r="S541" s="15">
        <f t="shared" si="1601"/>
        <v>0</v>
      </c>
      <c r="T541" s="14"/>
      <c r="U541" s="15">
        <f t="shared" si="1602"/>
        <v>0</v>
      </c>
      <c r="V541" s="16">
        <f t="shared" si="1603"/>
        <v>0</v>
      </c>
      <c r="W541" s="17">
        <f t="shared" si="1604"/>
        <v>0</v>
      </c>
    </row>
    <row r="542" spans="1:23" ht="10.5" hidden="1" customHeight="1" x14ac:dyDescent="0.2">
      <c r="A542" s="11"/>
      <c r="B542" s="149">
        <f>COUNTA(Spieltag!K529:AA529)</f>
        <v>0</v>
      </c>
      <c r="C542" s="166">
        <f>Spieltag!A529</f>
        <v>45</v>
      </c>
      <c r="D542" s="21" t="str">
        <f>Spieltag!B529</f>
        <v>Max Wendt</v>
      </c>
      <c r="E542" s="12" t="str">
        <f>Spieltag!C529</f>
        <v>Torwart</v>
      </c>
      <c r="F542" s="13" t="s">
        <v>628</v>
      </c>
      <c r="G542" s="14"/>
      <c r="H542" s="15">
        <f t="shared" ref="H542" si="1605">IF(G542="x",10,0)</f>
        <v>0</v>
      </c>
      <c r="I542" s="14"/>
      <c r="J542" s="15">
        <f t="shared" ref="J542" si="1606">IF((I542="x"),-10,0)</f>
        <v>0</v>
      </c>
      <c r="K542" s="14"/>
      <c r="L542" s="15">
        <f t="shared" ref="L542" si="1607">IF((K542="x"),-20,0)</f>
        <v>0</v>
      </c>
      <c r="M542" s="14"/>
      <c r="N542" s="15">
        <f t="shared" ref="N542" si="1608">IF((M542="x"),-30,0)</f>
        <v>0</v>
      </c>
      <c r="O542" s="16">
        <f t="shared" si="1590"/>
        <v>0</v>
      </c>
      <c r="P542" s="16">
        <f t="shared" si="1591"/>
        <v>-5</v>
      </c>
      <c r="Q542" s="16">
        <f t="shared" si="1592"/>
        <v>-20</v>
      </c>
      <c r="R542" s="14"/>
      <c r="S542" s="15">
        <f t="shared" ref="S542" si="1609">R542*20</f>
        <v>0</v>
      </c>
      <c r="T542" s="14"/>
      <c r="U542" s="15">
        <f t="shared" ref="U542" si="1610">T542*-15</f>
        <v>0</v>
      </c>
      <c r="V542" s="16">
        <f t="shared" ref="V542" si="1611">IF(AND(R542=2),10,IF(R542=3,30,IF(R542=4,50,IF(R542=5,70,0))))</f>
        <v>0</v>
      </c>
      <c r="W542" s="17">
        <f t="shared" ref="W542" si="1612">IF(G542="x",H542+J542+L542+N542+O542+P542+Q542+S542+U542+V542,0)</f>
        <v>0</v>
      </c>
    </row>
    <row r="543" spans="1:23" ht="10.5" hidden="1" customHeight="1" x14ac:dyDescent="0.2">
      <c r="A543" s="11"/>
      <c r="B543" s="149">
        <f>COUNTA(Spieltag!K530:AA530)</f>
        <v>0</v>
      </c>
      <c r="C543" s="166">
        <f>Spieltag!A530</f>
        <v>3</v>
      </c>
      <c r="D543" s="21" t="str">
        <f>Spieltag!B530</f>
        <v>Thomas Isherwood (A)</v>
      </c>
      <c r="E543" s="12" t="str">
        <f>Spieltag!C530</f>
        <v>Abwehr</v>
      </c>
      <c r="F543" s="13" t="s">
        <v>628</v>
      </c>
      <c r="G543" s="14"/>
      <c r="H543" s="15">
        <f t="shared" ref="H543" si="1613">IF(G543="x",10,0)</f>
        <v>0</v>
      </c>
      <c r="I543" s="14"/>
      <c r="J543" s="15">
        <f t="shared" ref="J543" si="1614">IF((I543="x"),-10,0)</f>
        <v>0</v>
      </c>
      <c r="K543" s="14"/>
      <c r="L543" s="15">
        <f t="shared" ref="L543" si="1615">IF((K543="x"),-20,0)</f>
        <v>0</v>
      </c>
      <c r="M543" s="14"/>
      <c r="N543" s="15">
        <f t="shared" ref="N543" si="1616">IF((M543="x"),-30,0)</f>
        <v>0</v>
      </c>
      <c r="O543" s="16">
        <f t="shared" si="1590"/>
        <v>0</v>
      </c>
      <c r="P543" s="16">
        <f t="shared" si="1591"/>
        <v>-5</v>
      </c>
      <c r="Q543" s="16">
        <f t="shared" ref="Q543:Q551" si="1617">IF(($Q$7&lt;&gt;0),$Q$7*-10,15)</f>
        <v>-20</v>
      </c>
      <c r="R543" s="14"/>
      <c r="S543" s="15">
        <f t="shared" ref="S543" si="1618">R543*15</f>
        <v>0</v>
      </c>
      <c r="T543" s="14"/>
      <c r="U543" s="15">
        <f t="shared" ref="U543" si="1619">T543*-15</f>
        <v>0</v>
      </c>
      <c r="V543" s="16">
        <f t="shared" ref="V543" si="1620">IF(AND(R543=2),10,IF(R543=3,30,IF(R543=4,50,IF(R543=5,70,0))))</f>
        <v>0</v>
      </c>
      <c r="W543" s="17">
        <f t="shared" ref="W543" si="1621">IF(G543="x",H543+J543+L543+N543+O543+P543+Q543+S543+U543+V543,0)</f>
        <v>0</v>
      </c>
    </row>
    <row r="544" spans="1:23" ht="10.5" hidden="1" customHeight="1" x14ac:dyDescent="0.2">
      <c r="A544" s="11"/>
      <c r="B544" s="149">
        <f>COUNTA(Spieltag!K531:AA531)</f>
        <v>0</v>
      </c>
      <c r="C544" s="166">
        <f>Spieltag!A531</f>
        <v>4</v>
      </c>
      <c r="D544" s="21" t="str">
        <f>Spieltag!B531</f>
        <v>Christoph Zimmermann</v>
      </c>
      <c r="E544" s="12" t="str">
        <f>Spieltag!C531</f>
        <v>Abwehr</v>
      </c>
      <c r="F544" s="13" t="s">
        <v>628</v>
      </c>
      <c r="G544" s="14"/>
      <c r="H544" s="15">
        <f t="shared" ref="H544:H551" si="1622">IF(G544="x",10,0)</f>
        <v>0</v>
      </c>
      <c r="I544" s="14"/>
      <c r="J544" s="15">
        <f t="shared" ref="J544:J551" si="1623">IF((I544="x"),-10,0)</f>
        <v>0</v>
      </c>
      <c r="K544" s="14"/>
      <c r="L544" s="15">
        <f t="shared" ref="L544:L551" si="1624">IF((K544="x"),-20,0)</f>
        <v>0</v>
      </c>
      <c r="M544" s="14"/>
      <c r="N544" s="15">
        <f t="shared" ref="N544:N551" si="1625">IF((M544="x"),-30,0)</f>
        <v>0</v>
      </c>
      <c r="O544" s="16">
        <f t="shared" si="1590"/>
        <v>0</v>
      </c>
      <c r="P544" s="16">
        <f t="shared" si="1591"/>
        <v>-5</v>
      </c>
      <c r="Q544" s="16">
        <f t="shared" si="1617"/>
        <v>-20</v>
      </c>
      <c r="R544" s="14"/>
      <c r="S544" s="15">
        <f t="shared" ref="S544:S551" si="1626">R544*15</f>
        <v>0</v>
      </c>
      <c r="T544" s="14"/>
      <c r="U544" s="15">
        <f t="shared" ref="U544:U551" si="1627">T544*-15</f>
        <v>0</v>
      </c>
      <c r="V544" s="16">
        <f t="shared" ref="V544:V551" si="1628">IF(AND(R544=2),10,IF(R544=3,30,IF(R544=4,50,IF(R544=5,70,0))))</f>
        <v>0</v>
      </c>
      <c r="W544" s="17">
        <f t="shared" ref="W544:W551" si="1629">IF(G544="x",H544+J544+L544+N544+O544+P544+Q544+S544+U544+V544,0)</f>
        <v>0</v>
      </c>
    </row>
    <row r="545" spans="1:23" ht="10.5" hidden="1" customHeight="1" x14ac:dyDescent="0.2">
      <c r="A545" s="11"/>
      <c r="B545" s="149">
        <f>COUNTA(Spieltag!K532:AA532)</f>
        <v>0</v>
      </c>
      <c r="C545" s="166">
        <f>Spieltag!A532</f>
        <v>5</v>
      </c>
      <c r="D545" s="21" t="str">
        <f>Spieltag!B532</f>
        <v>Matej Maglica (A)</v>
      </c>
      <c r="E545" s="12" t="str">
        <f>Spieltag!C532</f>
        <v>Abwehr</v>
      </c>
      <c r="F545" s="13" t="s">
        <v>628</v>
      </c>
      <c r="G545" s="14"/>
      <c r="H545" s="15">
        <f t="shared" si="1622"/>
        <v>0</v>
      </c>
      <c r="I545" s="14"/>
      <c r="J545" s="15">
        <f t="shared" si="1623"/>
        <v>0</v>
      </c>
      <c r="K545" s="14"/>
      <c r="L545" s="15">
        <f t="shared" si="1624"/>
        <v>0</v>
      </c>
      <c r="M545" s="14"/>
      <c r="N545" s="15">
        <f t="shared" si="1625"/>
        <v>0</v>
      </c>
      <c r="O545" s="16">
        <f t="shared" si="1590"/>
        <v>0</v>
      </c>
      <c r="P545" s="16">
        <f t="shared" si="1591"/>
        <v>-5</v>
      </c>
      <c r="Q545" s="16">
        <f t="shared" si="1617"/>
        <v>-20</v>
      </c>
      <c r="R545" s="14"/>
      <c r="S545" s="15">
        <f t="shared" si="1626"/>
        <v>0</v>
      </c>
      <c r="T545" s="14"/>
      <c r="U545" s="15">
        <f t="shared" si="1627"/>
        <v>0</v>
      </c>
      <c r="V545" s="16">
        <f t="shared" si="1628"/>
        <v>0</v>
      </c>
      <c r="W545" s="17">
        <f t="shared" si="1629"/>
        <v>0</v>
      </c>
    </row>
    <row r="546" spans="1:23" ht="10.5" hidden="1" customHeight="1" x14ac:dyDescent="0.2">
      <c r="A546" s="11"/>
      <c r="B546" s="149">
        <f>COUNTA(Spieltag!K533:AA533)</f>
        <v>0</v>
      </c>
      <c r="C546" s="166">
        <f>Spieltag!A533</f>
        <v>14</v>
      </c>
      <c r="D546" s="21" t="str">
        <f>Spieltag!B533</f>
        <v>Christoph Klarer (A)</v>
      </c>
      <c r="E546" s="12" t="str">
        <f>Spieltag!C533</f>
        <v>Abwehr</v>
      </c>
      <c r="F546" s="13" t="s">
        <v>628</v>
      </c>
      <c r="G546" s="14"/>
      <c r="H546" s="15">
        <f t="shared" si="1622"/>
        <v>0</v>
      </c>
      <c r="I546" s="14"/>
      <c r="J546" s="15">
        <f t="shared" si="1623"/>
        <v>0</v>
      </c>
      <c r="K546" s="14"/>
      <c r="L546" s="15">
        <f t="shared" si="1624"/>
        <v>0</v>
      </c>
      <c r="M546" s="14"/>
      <c r="N546" s="15">
        <f t="shared" si="1625"/>
        <v>0</v>
      </c>
      <c r="O546" s="16">
        <f t="shared" si="1590"/>
        <v>0</v>
      </c>
      <c r="P546" s="16">
        <f t="shared" si="1591"/>
        <v>-5</v>
      </c>
      <c r="Q546" s="16">
        <f t="shared" si="1617"/>
        <v>-20</v>
      </c>
      <c r="R546" s="14"/>
      <c r="S546" s="15">
        <f t="shared" si="1626"/>
        <v>0</v>
      </c>
      <c r="T546" s="14"/>
      <c r="U546" s="15">
        <f t="shared" si="1627"/>
        <v>0</v>
      </c>
      <c r="V546" s="16">
        <f t="shared" si="1628"/>
        <v>0</v>
      </c>
      <c r="W546" s="17">
        <f t="shared" si="1629"/>
        <v>0</v>
      </c>
    </row>
    <row r="547" spans="1:23" ht="10.5" hidden="1" customHeight="1" x14ac:dyDescent="0.2">
      <c r="A547" s="11"/>
      <c r="B547" s="149">
        <f>COUNTA(Spieltag!K534:AA534)</f>
        <v>0</v>
      </c>
      <c r="C547" s="166">
        <f>Spieltag!A534</f>
        <v>19</v>
      </c>
      <c r="D547" s="21" t="str">
        <f>Spieltag!B534</f>
        <v>Emir Karic (A)</v>
      </c>
      <c r="E547" s="12" t="str">
        <f>Spieltag!C534</f>
        <v>Abwehr</v>
      </c>
      <c r="F547" s="13" t="s">
        <v>628</v>
      </c>
      <c r="G547" s="14"/>
      <c r="H547" s="15">
        <f t="shared" si="1622"/>
        <v>0</v>
      </c>
      <c r="I547" s="14"/>
      <c r="J547" s="15">
        <f t="shared" si="1623"/>
        <v>0</v>
      </c>
      <c r="K547" s="14"/>
      <c r="L547" s="15">
        <f t="shared" si="1624"/>
        <v>0</v>
      </c>
      <c r="M547" s="14"/>
      <c r="N547" s="15">
        <f t="shared" si="1625"/>
        <v>0</v>
      </c>
      <c r="O547" s="16">
        <f t="shared" si="1590"/>
        <v>0</v>
      </c>
      <c r="P547" s="16">
        <f t="shared" si="1591"/>
        <v>-5</v>
      </c>
      <c r="Q547" s="16">
        <f t="shared" si="1617"/>
        <v>-20</v>
      </c>
      <c r="R547" s="14"/>
      <c r="S547" s="15">
        <f t="shared" si="1626"/>
        <v>0</v>
      </c>
      <c r="T547" s="14"/>
      <c r="U547" s="15">
        <f t="shared" si="1627"/>
        <v>0</v>
      </c>
      <c r="V547" s="16">
        <f t="shared" si="1628"/>
        <v>0</v>
      </c>
      <c r="W547" s="17">
        <f t="shared" si="1629"/>
        <v>0</v>
      </c>
    </row>
    <row r="548" spans="1:23" ht="10.5" hidden="1" customHeight="1" x14ac:dyDescent="0.2">
      <c r="A548" s="11"/>
      <c r="B548" s="149">
        <f>COUNTA(Spieltag!K535:AA535)</f>
        <v>0</v>
      </c>
      <c r="C548" s="166">
        <f>Spieltag!A535</f>
        <v>20</v>
      </c>
      <c r="D548" s="21" t="str">
        <f>Spieltag!B535</f>
        <v>Jannik Müller</v>
      </c>
      <c r="E548" s="12" t="str">
        <f>Spieltag!C535</f>
        <v>Abwehr</v>
      </c>
      <c r="F548" s="13" t="s">
        <v>628</v>
      </c>
      <c r="G548" s="14"/>
      <c r="H548" s="15">
        <f t="shared" si="1622"/>
        <v>0</v>
      </c>
      <c r="I548" s="14"/>
      <c r="J548" s="15">
        <f t="shared" si="1623"/>
        <v>0</v>
      </c>
      <c r="K548" s="14"/>
      <c r="L548" s="15">
        <f t="shared" si="1624"/>
        <v>0</v>
      </c>
      <c r="M548" s="14"/>
      <c r="N548" s="15">
        <f t="shared" si="1625"/>
        <v>0</v>
      </c>
      <c r="O548" s="16">
        <f t="shared" si="1590"/>
        <v>0</v>
      </c>
      <c r="P548" s="16">
        <f t="shared" si="1591"/>
        <v>-5</v>
      </c>
      <c r="Q548" s="16">
        <f t="shared" si="1617"/>
        <v>-20</v>
      </c>
      <c r="R548" s="14"/>
      <c r="S548" s="15">
        <f t="shared" si="1626"/>
        <v>0</v>
      </c>
      <c r="T548" s="14"/>
      <c r="U548" s="15">
        <f t="shared" si="1627"/>
        <v>0</v>
      </c>
      <c r="V548" s="16">
        <f t="shared" si="1628"/>
        <v>0</v>
      </c>
      <c r="W548" s="17">
        <f t="shared" si="1629"/>
        <v>0</v>
      </c>
    </row>
    <row r="549" spans="1:23" ht="10.5" hidden="1" customHeight="1" x14ac:dyDescent="0.2">
      <c r="A549" s="11"/>
      <c r="B549" s="149">
        <f>COUNTA(Spieltag!K536:AA536)</f>
        <v>0</v>
      </c>
      <c r="C549" s="166">
        <f>Spieltag!A536</f>
        <v>26</v>
      </c>
      <c r="D549" s="21" t="str">
        <f>Spieltag!B536</f>
        <v>Matthias Bader</v>
      </c>
      <c r="E549" s="12" t="str">
        <f>Spieltag!C536</f>
        <v>Abwehr</v>
      </c>
      <c r="F549" s="13" t="s">
        <v>628</v>
      </c>
      <c r="G549" s="14"/>
      <c r="H549" s="15">
        <f t="shared" si="1622"/>
        <v>0</v>
      </c>
      <c r="I549" s="14"/>
      <c r="J549" s="15">
        <f t="shared" si="1623"/>
        <v>0</v>
      </c>
      <c r="K549" s="14"/>
      <c r="L549" s="15">
        <f t="shared" si="1624"/>
        <v>0</v>
      </c>
      <c r="M549" s="14"/>
      <c r="N549" s="15">
        <f t="shared" si="1625"/>
        <v>0</v>
      </c>
      <c r="O549" s="16">
        <f t="shared" si="1590"/>
        <v>0</v>
      </c>
      <c r="P549" s="16">
        <f t="shared" si="1591"/>
        <v>-5</v>
      </c>
      <c r="Q549" s="16">
        <f t="shared" si="1617"/>
        <v>-20</v>
      </c>
      <c r="R549" s="14"/>
      <c r="S549" s="15">
        <f t="shared" si="1626"/>
        <v>0</v>
      </c>
      <c r="T549" s="14"/>
      <c r="U549" s="15">
        <f t="shared" si="1627"/>
        <v>0</v>
      </c>
      <c r="V549" s="16">
        <f t="shared" si="1628"/>
        <v>0</v>
      </c>
      <c r="W549" s="17">
        <f t="shared" si="1629"/>
        <v>0</v>
      </c>
    </row>
    <row r="550" spans="1:23" ht="10.5" hidden="1" customHeight="1" x14ac:dyDescent="0.2">
      <c r="A550" s="11"/>
      <c r="B550" s="149">
        <f>COUNTA(Spieltag!K537:AA537)</f>
        <v>0</v>
      </c>
      <c r="C550" s="166">
        <f>Spieltag!A537</f>
        <v>32</v>
      </c>
      <c r="D550" s="21" t="str">
        <f>Spieltag!B537</f>
        <v>Fabian Holland</v>
      </c>
      <c r="E550" s="12" t="str">
        <f>Spieltag!C537</f>
        <v>Abwehr</v>
      </c>
      <c r="F550" s="13" t="s">
        <v>628</v>
      </c>
      <c r="G550" s="14"/>
      <c r="H550" s="15">
        <f t="shared" si="1622"/>
        <v>0</v>
      </c>
      <c r="I550" s="14"/>
      <c r="J550" s="15">
        <f t="shared" si="1623"/>
        <v>0</v>
      </c>
      <c r="K550" s="14"/>
      <c r="L550" s="15">
        <f t="shared" si="1624"/>
        <v>0</v>
      </c>
      <c r="M550" s="14"/>
      <c r="N550" s="15">
        <f t="shared" si="1625"/>
        <v>0</v>
      </c>
      <c r="O550" s="16">
        <f t="shared" si="1590"/>
        <v>0</v>
      </c>
      <c r="P550" s="16">
        <f t="shared" si="1591"/>
        <v>-5</v>
      </c>
      <c r="Q550" s="16">
        <f t="shared" si="1617"/>
        <v>-20</v>
      </c>
      <c r="R550" s="14"/>
      <c r="S550" s="15">
        <f t="shared" si="1626"/>
        <v>0</v>
      </c>
      <c r="T550" s="14"/>
      <c r="U550" s="15">
        <f t="shared" si="1627"/>
        <v>0</v>
      </c>
      <c r="V550" s="16">
        <f t="shared" si="1628"/>
        <v>0</v>
      </c>
      <c r="W550" s="17">
        <f t="shared" si="1629"/>
        <v>0</v>
      </c>
    </row>
    <row r="551" spans="1:23" ht="10.5" hidden="1" customHeight="1" x14ac:dyDescent="0.2">
      <c r="A551" s="11"/>
      <c r="B551" s="149">
        <f>COUNTA(Spieltag!K538:AA538)</f>
        <v>0</v>
      </c>
      <c r="C551" s="166">
        <f>Spieltag!A538</f>
        <v>38</v>
      </c>
      <c r="D551" s="21" t="str">
        <f>Spieltag!B538</f>
        <v>Clemens Riedel</v>
      </c>
      <c r="E551" s="12" t="str">
        <f>Spieltag!C538</f>
        <v>Abwehr</v>
      </c>
      <c r="F551" s="13" t="s">
        <v>628</v>
      </c>
      <c r="G551" s="14"/>
      <c r="H551" s="15">
        <f t="shared" si="1622"/>
        <v>0</v>
      </c>
      <c r="I551" s="14"/>
      <c r="J551" s="15">
        <f t="shared" si="1623"/>
        <v>0</v>
      </c>
      <c r="K551" s="14"/>
      <c r="L551" s="15">
        <f t="shared" si="1624"/>
        <v>0</v>
      </c>
      <c r="M551" s="14"/>
      <c r="N551" s="15">
        <f t="shared" si="1625"/>
        <v>0</v>
      </c>
      <c r="O551" s="16">
        <f t="shared" si="1590"/>
        <v>0</v>
      </c>
      <c r="P551" s="16">
        <f t="shared" si="1591"/>
        <v>-5</v>
      </c>
      <c r="Q551" s="16">
        <f t="shared" si="1617"/>
        <v>-20</v>
      </c>
      <c r="R551" s="14"/>
      <c r="S551" s="15">
        <f t="shared" si="1626"/>
        <v>0</v>
      </c>
      <c r="T551" s="14"/>
      <c r="U551" s="15">
        <f t="shared" si="1627"/>
        <v>0</v>
      </c>
      <c r="V551" s="16">
        <f t="shared" si="1628"/>
        <v>0</v>
      </c>
      <c r="W551" s="17">
        <f t="shared" si="1629"/>
        <v>0</v>
      </c>
    </row>
    <row r="552" spans="1:23" ht="10.5" hidden="1" customHeight="1" x14ac:dyDescent="0.2">
      <c r="A552" s="11"/>
      <c r="B552" s="149">
        <f>COUNTA(Spieltag!K539:AA539)</f>
        <v>0</v>
      </c>
      <c r="C552" s="166">
        <f>Spieltag!A539</f>
        <v>6</v>
      </c>
      <c r="D552" s="21" t="str">
        <f>Spieltag!B539</f>
        <v>Marvin Mehlem</v>
      </c>
      <c r="E552" s="12" t="str">
        <f>Spieltag!C539</f>
        <v>Mittelfeld</v>
      </c>
      <c r="F552" s="13" t="s">
        <v>628</v>
      </c>
      <c r="G552" s="14"/>
      <c r="H552" s="15">
        <f t="shared" ref="H552" si="1630">IF(G552="x",10,0)</f>
        <v>0</v>
      </c>
      <c r="I552" s="14"/>
      <c r="J552" s="15">
        <f t="shared" ref="J552" si="1631">IF((I552="x"),-10,0)</f>
        <v>0</v>
      </c>
      <c r="K552" s="14"/>
      <c r="L552" s="15">
        <f t="shared" ref="L552" si="1632">IF((K552="x"),-20,0)</f>
        <v>0</v>
      </c>
      <c r="M552" s="14"/>
      <c r="N552" s="15">
        <f t="shared" ref="N552" si="1633">IF((M552="x"),-30,0)</f>
        <v>0</v>
      </c>
      <c r="O552" s="16">
        <f t="shared" si="1590"/>
        <v>0</v>
      </c>
      <c r="P552" s="16">
        <f t="shared" si="1591"/>
        <v>-5</v>
      </c>
      <c r="Q552" s="16">
        <f t="shared" ref="Q552:Q561" si="1634">IF(($Q$7&lt;&gt;0),$Q$7*-10,10)</f>
        <v>-20</v>
      </c>
      <c r="R552" s="14"/>
      <c r="S552" s="15">
        <f t="shared" ref="S552" si="1635">R552*10</f>
        <v>0</v>
      </c>
      <c r="T552" s="14"/>
      <c r="U552" s="15">
        <f t="shared" ref="U552" si="1636">T552*-15</f>
        <v>0</v>
      </c>
      <c r="V552" s="16">
        <f t="shared" ref="V552" si="1637">IF(AND(R552=2),10,IF(R552=3,30,IF(R552=4,50,IF(R552=5,70,0))))</f>
        <v>0</v>
      </c>
      <c r="W552" s="17">
        <f t="shared" ref="W552" si="1638">IF(G552="x",H552+J552+L552+N552+O552+P552+Q552+S552+U552+V552,0)</f>
        <v>0</v>
      </c>
    </row>
    <row r="553" spans="1:23" ht="10.5" hidden="1" customHeight="1" x14ac:dyDescent="0.2">
      <c r="A553" s="11"/>
      <c r="B553" s="149">
        <f>COUNTA(Spieltag!K540:AA540)</f>
        <v>0</v>
      </c>
      <c r="C553" s="166">
        <f>Spieltag!A540</f>
        <v>7</v>
      </c>
      <c r="D553" s="21" t="str">
        <f>Spieltag!B540</f>
        <v>Braydon Manu (A)</v>
      </c>
      <c r="E553" s="12" t="str">
        <f>Spieltag!C540</f>
        <v>Mittelfeld</v>
      </c>
      <c r="F553" s="13" t="s">
        <v>628</v>
      </c>
      <c r="G553" s="14"/>
      <c r="H553" s="15">
        <f t="shared" ref="H553:H561" si="1639">IF(G553="x",10,0)</f>
        <v>0</v>
      </c>
      <c r="I553" s="14"/>
      <c r="J553" s="15">
        <f t="shared" ref="J553:J561" si="1640">IF((I553="x"),-10,0)</f>
        <v>0</v>
      </c>
      <c r="K553" s="14"/>
      <c r="L553" s="15">
        <f t="shared" ref="L553:L561" si="1641">IF((K553="x"),-20,0)</f>
        <v>0</v>
      </c>
      <c r="M553" s="14"/>
      <c r="N553" s="15">
        <f t="shared" ref="N553:N561" si="1642">IF((M553="x"),-30,0)</f>
        <v>0</v>
      </c>
      <c r="O553" s="16">
        <f t="shared" si="1590"/>
        <v>0</v>
      </c>
      <c r="P553" s="16">
        <f t="shared" si="1591"/>
        <v>-5</v>
      </c>
      <c r="Q553" s="16">
        <f t="shared" si="1634"/>
        <v>-20</v>
      </c>
      <c r="R553" s="14"/>
      <c r="S553" s="15">
        <f t="shared" ref="S553:S561" si="1643">R553*10</f>
        <v>0</v>
      </c>
      <c r="T553" s="14"/>
      <c r="U553" s="15">
        <f t="shared" ref="U553:U561" si="1644">T553*-15</f>
        <v>0</v>
      </c>
      <c r="V553" s="16">
        <f t="shared" ref="V553:V561" si="1645">IF(AND(R553=2),10,IF(R553=3,30,IF(R553=4,50,IF(R553=5,70,0))))</f>
        <v>0</v>
      </c>
      <c r="W553" s="17">
        <f t="shared" ref="W553:W561" si="1646">IF(G553="x",H553+J553+L553+N553+O553+P553+Q553+S553+U553+V553,0)</f>
        <v>0</v>
      </c>
    </row>
    <row r="554" spans="1:23" ht="10.5" hidden="1" customHeight="1" x14ac:dyDescent="0.2">
      <c r="A554" s="11"/>
      <c r="B554" s="149">
        <f>COUNTA(Spieltag!K541:AA541)</f>
        <v>0</v>
      </c>
      <c r="C554" s="166">
        <f>Spieltag!A541</f>
        <v>8</v>
      </c>
      <c r="D554" s="21" t="str">
        <f>Spieltag!B541</f>
        <v>Fabian Schnellhardt</v>
      </c>
      <c r="E554" s="12" t="str">
        <f>Spieltag!C541</f>
        <v>Mittelfeld</v>
      </c>
      <c r="F554" s="13" t="s">
        <v>628</v>
      </c>
      <c r="G554" s="14"/>
      <c r="H554" s="15">
        <f t="shared" si="1639"/>
        <v>0</v>
      </c>
      <c r="I554" s="14"/>
      <c r="J554" s="15">
        <f t="shared" si="1640"/>
        <v>0</v>
      </c>
      <c r="K554" s="14"/>
      <c r="L554" s="15">
        <f t="shared" si="1641"/>
        <v>0</v>
      </c>
      <c r="M554" s="14"/>
      <c r="N554" s="15">
        <f t="shared" si="1642"/>
        <v>0</v>
      </c>
      <c r="O554" s="16">
        <f t="shared" si="1590"/>
        <v>0</v>
      </c>
      <c r="P554" s="16">
        <f t="shared" si="1591"/>
        <v>-5</v>
      </c>
      <c r="Q554" s="16">
        <f t="shared" si="1634"/>
        <v>-20</v>
      </c>
      <c r="R554" s="14"/>
      <c r="S554" s="15">
        <f t="shared" si="1643"/>
        <v>0</v>
      </c>
      <c r="T554" s="14"/>
      <c r="U554" s="15">
        <f t="shared" si="1644"/>
        <v>0</v>
      </c>
      <c r="V554" s="16">
        <f t="shared" si="1645"/>
        <v>0</v>
      </c>
      <c r="W554" s="17">
        <f t="shared" si="1646"/>
        <v>0</v>
      </c>
    </row>
    <row r="555" spans="1:23" ht="10.5" hidden="1" customHeight="1" x14ac:dyDescent="0.2">
      <c r="A555" s="11"/>
      <c r="B555" s="149">
        <f>COUNTA(Spieltag!K542:AA542)</f>
        <v>0</v>
      </c>
      <c r="C555" s="166">
        <f>Spieltag!A542</f>
        <v>11</v>
      </c>
      <c r="D555" s="21" t="str">
        <f>Spieltag!B542</f>
        <v>Tobias Kempe</v>
      </c>
      <c r="E555" s="12" t="str">
        <f>Spieltag!C542</f>
        <v>Mittelfeld</v>
      </c>
      <c r="F555" s="13" t="s">
        <v>628</v>
      </c>
      <c r="G555" s="14"/>
      <c r="H555" s="15">
        <f t="shared" si="1639"/>
        <v>0</v>
      </c>
      <c r="I555" s="14"/>
      <c r="J555" s="15">
        <f t="shared" si="1640"/>
        <v>0</v>
      </c>
      <c r="K555" s="14"/>
      <c r="L555" s="15">
        <f t="shared" si="1641"/>
        <v>0</v>
      </c>
      <c r="M555" s="14"/>
      <c r="N555" s="15">
        <f t="shared" si="1642"/>
        <v>0</v>
      </c>
      <c r="O555" s="16">
        <f t="shared" si="1590"/>
        <v>0</v>
      </c>
      <c r="P555" s="16">
        <f t="shared" si="1591"/>
        <v>-5</v>
      </c>
      <c r="Q555" s="16">
        <f t="shared" si="1634"/>
        <v>-20</v>
      </c>
      <c r="R555" s="14"/>
      <c r="S555" s="15">
        <f t="shared" si="1643"/>
        <v>0</v>
      </c>
      <c r="T555" s="14"/>
      <c r="U555" s="15">
        <f t="shared" si="1644"/>
        <v>0</v>
      </c>
      <c r="V555" s="16">
        <f t="shared" si="1645"/>
        <v>0</v>
      </c>
      <c r="W555" s="17">
        <f t="shared" si="1646"/>
        <v>0</v>
      </c>
    </row>
    <row r="556" spans="1:23" ht="10.5" hidden="1" customHeight="1" x14ac:dyDescent="0.2">
      <c r="A556" s="11"/>
      <c r="B556" s="149">
        <f>COUNTA(Spieltag!K543:AA543)</f>
        <v>0</v>
      </c>
      <c r="C556" s="166">
        <f>Spieltag!A543</f>
        <v>15</v>
      </c>
      <c r="D556" s="21" t="str">
        <f>Spieltag!B543</f>
        <v>Fabian Nürnberger</v>
      </c>
      <c r="E556" s="12" t="str">
        <f>Spieltag!C543</f>
        <v>Mittelfeld</v>
      </c>
      <c r="F556" s="13" t="s">
        <v>628</v>
      </c>
      <c r="G556" s="14"/>
      <c r="H556" s="15">
        <f t="shared" si="1639"/>
        <v>0</v>
      </c>
      <c r="I556" s="14"/>
      <c r="J556" s="15">
        <f t="shared" si="1640"/>
        <v>0</v>
      </c>
      <c r="K556" s="14"/>
      <c r="L556" s="15">
        <f t="shared" si="1641"/>
        <v>0</v>
      </c>
      <c r="M556" s="14"/>
      <c r="N556" s="15">
        <f t="shared" si="1642"/>
        <v>0</v>
      </c>
      <c r="O556" s="16">
        <f t="shared" si="1590"/>
        <v>0</v>
      </c>
      <c r="P556" s="16">
        <f t="shared" si="1591"/>
        <v>-5</v>
      </c>
      <c r="Q556" s="16">
        <f t="shared" si="1634"/>
        <v>-20</v>
      </c>
      <c r="R556" s="14"/>
      <c r="S556" s="15">
        <f t="shared" si="1643"/>
        <v>0</v>
      </c>
      <c r="T556" s="14"/>
      <c r="U556" s="15">
        <f t="shared" si="1644"/>
        <v>0</v>
      </c>
      <c r="V556" s="16">
        <f t="shared" si="1645"/>
        <v>0</v>
      </c>
      <c r="W556" s="17">
        <f t="shared" si="1646"/>
        <v>0</v>
      </c>
    </row>
    <row r="557" spans="1:23" ht="10.5" hidden="1" customHeight="1" x14ac:dyDescent="0.2">
      <c r="A557" s="11"/>
      <c r="B557" s="149">
        <f>COUNTA(Spieltag!K544:AA544)</f>
        <v>0</v>
      </c>
      <c r="C557" s="166">
        <f>Spieltag!A544</f>
        <v>16</v>
      </c>
      <c r="D557" s="21" t="str">
        <f>Spieltag!B544</f>
        <v>Andreas Müller</v>
      </c>
      <c r="E557" s="12" t="str">
        <f>Spieltag!C544</f>
        <v>Mittelfeld</v>
      </c>
      <c r="F557" s="13" t="s">
        <v>628</v>
      </c>
      <c r="G557" s="14"/>
      <c r="H557" s="15">
        <f t="shared" si="1639"/>
        <v>0</v>
      </c>
      <c r="I557" s="14"/>
      <c r="J557" s="15">
        <f t="shared" si="1640"/>
        <v>0</v>
      </c>
      <c r="K557" s="14"/>
      <c r="L557" s="15">
        <f t="shared" si="1641"/>
        <v>0</v>
      </c>
      <c r="M557" s="14"/>
      <c r="N557" s="15">
        <f t="shared" si="1642"/>
        <v>0</v>
      </c>
      <c r="O557" s="16">
        <f t="shared" si="1590"/>
        <v>0</v>
      </c>
      <c r="P557" s="16">
        <f t="shared" si="1591"/>
        <v>-5</v>
      </c>
      <c r="Q557" s="16">
        <f t="shared" si="1634"/>
        <v>-20</v>
      </c>
      <c r="R557" s="14"/>
      <c r="S557" s="15">
        <f t="shared" si="1643"/>
        <v>0</v>
      </c>
      <c r="T557" s="14"/>
      <c r="U557" s="15">
        <f t="shared" si="1644"/>
        <v>0</v>
      </c>
      <c r="V557" s="16">
        <f t="shared" si="1645"/>
        <v>0</v>
      </c>
      <c r="W557" s="17">
        <f t="shared" si="1646"/>
        <v>0</v>
      </c>
    </row>
    <row r="558" spans="1:23" ht="10.5" hidden="1" customHeight="1" x14ac:dyDescent="0.2">
      <c r="A558" s="11"/>
      <c r="B558" s="149">
        <f>COUNTA(Spieltag!K545:AA545)</f>
        <v>0</v>
      </c>
      <c r="C558" s="166">
        <f>Spieltag!A545</f>
        <v>17</v>
      </c>
      <c r="D558" s="21" t="str">
        <f>Spieltag!B545</f>
        <v>Julian Justvan</v>
      </c>
      <c r="E558" s="12" t="str">
        <f>Spieltag!C545</f>
        <v>Mittelfeld</v>
      </c>
      <c r="F558" s="13" t="s">
        <v>628</v>
      </c>
      <c r="G558" s="14"/>
      <c r="H558" s="15">
        <f t="shared" ref="H558" si="1647">IF(G558="x",10,0)</f>
        <v>0</v>
      </c>
      <c r="I558" s="14"/>
      <c r="J558" s="15">
        <f t="shared" ref="J558" si="1648">IF((I558="x"),-10,0)</f>
        <v>0</v>
      </c>
      <c r="K558" s="14"/>
      <c r="L558" s="15">
        <f t="shared" ref="L558" si="1649">IF((K558="x"),-20,0)</f>
        <v>0</v>
      </c>
      <c r="M558" s="14"/>
      <c r="N558" s="15">
        <f t="shared" ref="N558" si="1650">IF((M558="x"),-30,0)</f>
        <v>0</v>
      </c>
      <c r="O558" s="16">
        <f t="shared" si="1590"/>
        <v>0</v>
      </c>
      <c r="P558" s="16">
        <f t="shared" si="1591"/>
        <v>-5</v>
      </c>
      <c r="Q558" s="16">
        <f t="shared" si="1634"/>
        <v>-20</v>
      </c>
      <c r="R558" s="14"/>
      <c r="S558" s="15">
        <f t="shared" ref="S558" si="1651">R558*10</f>
        <v>0</v>
      </c>
      <c r="T558" s="14"/>
      <c r="U558" s="15">
        <f t="shared" ref="U558" si="1652">T558*-15</f>
        <v>0</v>
      </c>
      <c r="V558" s="16">
        <f t="shared" ref="V558" si="1653">IF(AND(R558=2),10,IF(R558=3,30,IF(R558=4,50,IF(R558=5,70,0))))</f>
        <v>0</v>
      </c>
      <c r="W558" s="17">
        <f t="shared" ref="W558" si="1654">IF(G558="x",H558+J558+L558+N558+O558+P558+Q558+S558+U558+V558,0)</f>
        <v>0</v>
      </c>
    </row>
    <row r="559" spans="1:23" ht="10.5" hidden="1" customHeight="1" x14ac:dyDescent="0.2">
      <c r="A559" s="11"/>
      <c r="B559" s="149">
        <f>COUNTA(Spieltag!K546:AA546)</f>
        <v>0</v>
      </c>
      <c r="C559" s="166">
        <f>Spieltag!A546</f>
        <v>18</v>
      </c>
      <c r="D559" s="21" t="str">
        <f>Spieltag!B546</f>
        <v>Mathias Honsak (A)</v>
      </c>
      <c r="E559" s="12" t="str">
        <f>Spieltag!C546</f>
        <v>Mittelfeld</v>
      </c>
      <c r="F559" s="13" t="s">
        <v>628</v>
      </c>
      <c r="G559" s="14"/>
      <c r="H559" s="15">
        <f t="shared" si="1639"/>
        <v>0</v>
      </c>
      <c r="I559" s="14"/>
      <c r="J559" s="15">
        <f t="shared" si="1640"/>
        <v>0</v>
      </c>
      <c r="K559" s="14"/>
      <c r="L559" s="15">
        <f t="shared" si="1641"/>
        <v>0</v>
      </c>
      <c r="M559" s="14"/>
      <c r="N559" s="15">
        <f t="shared" si="1642"/>
        <v>0</v>
      </c>
      <c r="O559" s="16">
        <f t="shared" si="1590"/>
        <v>0</v>
      </c>
      <c r="P559" s="16">
        <f t="shared" si="1591"/>
        <v>-5</v>
      </c>
      <c r="Q559" s="16">
        <f t="shared" si="1634"/>
        <v>-20</v>
      </c>
      <c r="R559" s="14"/>
      <c r="S559" s="15">
        <f t="shared" si="1643"/>
        <v>0</v>
      </c>
      <c r="T559" s="14"/>
      <c r="U559" s="15">
        <f t="shared" si="1644"/>
        <v>0</v>
      </c>
      <c r="V559" s="16">
        <f t="shared" si="1645"/>
        <v>0</v>
      </c>
      <c r="W559" s="17">
        <f t="shared" si="1646"/>
        <v>0</v>
      </c>
    </row>
    <row r="560" spans="1:23" ht="10.5" hidden="1" customHeight="1" x14ac:dyDescent="0.2">
      <c r="A560" s="11"/>
      <c r="B560" s="149">
        <f>COUNTA(Spieltag!K547:AA547)</f>
        <v>0</v>
      </c>
      <c r="C560" s="166">
        <f>Spieltag!A547</f>
        <v>23</v>
      </c>
      <c r="D560" s="21" t="str">
        <f>Spieltag!B547</f>
        <v>Klaus Gjasula (A)</v>
      </c>
      <c r="E560" s="12" t="str">
        <f>Spieltag!C547</f>
        <v>Mittelfeld</v>
      </c>
      <c r="F560" s="13" t="s">
        <v>628</v>
      </c>
      <c r="G560" s="14"/>
      <c r="H560" s="15">
        <f t="shared" ref="H560" si="1655">IF(G560="x",10,0)</f>
        <v>0</v>
      </c>
      <c r="I560" s="14"/>
      <c r="J560" s="15">
        <f t="shared" ref="J560" si="1656">IF((I560="x"),-10,0)</f>
        <v>0</v>
      </c>
      <c r="K560" s="14"/>
      <c r="L560" s="15">
        <f t="shared" ref="L560" si="1657">IF((K560="x"),-20,0)</f>
        <v>0</v>
      </c>
      <c r="M560" s="14"/>
      <c r="N560" s="15">
        <f t="shared" ref="N560" si="1658">IF((M560="x"),-30,0)</f>
        <v>0</v>
      </c>
      <c r="O560" s="16">
        <f t="shared" si="1590"/>
        <v>0</v>
      </c>
      <c r="P560" s="16">
        <f t="shared" si="1591"/>
        <v>-5</v>
      </c>
      <c r="Q560" s="16">
        <f t="shared" si="1634"/>
        <v>-20</v>
      </c>
      <c r="R560" s="14"/>
      <c r="S560" s="15">
        <f t="shared" ref="S560" si="1659">R560*10</f>
        <v>0</v>
      </c>
      <c r="T560" s="14"/>
      <c r="U560" s="15">
        <f t="shared" ref="U560" si="1660">T560*-15</f>
        <v>0</v>
      </c>
      <c r="V560" s="16">
        <f t="shared" ref="V560" si="1661">IF(AND(R560=2),10,IF(R560=3,30,IF(R560=4,50,IF(R560=5,70,0))))</f>
        <v>0</v>
      </c>
      <c r="W560" s="17">
        <f t="shared" ref="W560" si="1662">IF(G560="x",H560+J560+L560+N560+O560+P560+Q560+S560+U560+V560,0)</f>
        <v>0</v>
      </c>
    </row>
    <row r="561" spans="1:23" ht="10.5" hidden="1" customHeight="1" x14ac:dyDescent="0.2">
      <c r="A561" s="11"/>
      <c r="B561" s="149">
        <f>COUNTA(Spieltag!K548:AA548)</f>
        <v>0</v>
      </c>
      <c r="C561" s="166">
        <f>Spieltag!A548</f>
        <v>28</v>
      </c>
      <c r="D561" s="21" t="str">
        <f>Spieltag!B548</f>
        <v>Bartol Franjic (A)</v>
      </c>
      <c r="E561" s="12" t="str">
        <f>Spieltag!C548</f>
        <v>Mittelfeld</v>
      </c>
      <c r="F561" s="13" t="s">
        <v>628</v>
      </c>
      <c r="G561" s="14"/>
      <c r="H561" s="15">
        <f t="shared" si="1639"/>
        <v>0</v>
      </c>
      <c r="I561" s="14"/>
      <c r="J561" s="15">
        <f t="shared" si="1640"/>
        <v>0</v>
      </c>
      <c r="K561" s="14"/>
      <c r="L561" s="15">
        <f t="shared" si="1641"/>
        <v>0</v>
      </c>
      <c r="M561" s="14"/>
      <c r="N561" s="15">
        <f t="shared" si="1642"/>
        <v>0</v>
      </c>
      <c r="O561" s="16">
        <f t="shared" si="1590"/>
        <v>0</v>
      </c>
      <c r="P561" s="16">
        <f t="shared" si="1591"/>
        <v>-5</v>
      </c>
      <c r="Q561" s="16">
        <f t="shared" si="1634"/>
        <v>-20</v>
      </c>
      <c r="R561" s="14"/>
      <c r="S561" s="15">
        <f t="shared" si="1643"/>
        <v>0</v>
      </c>
      <c r="T561" s="14"/>
      <c r="U561" s="15">
        <f t="shared" si="1644"/>
        <v>0</v>
      </c>
      <c r="V561" s="16">
        <f t="shared" si="1645"/>
        <v>0</v>
      </c>
      <c r="W561" s="17">
        <f t="shared" si="1646"/>
        <v>0</v>
      </c>
    </row>
    <row r="562" spans="1:23" ht="10.5" hidden="1" customHeight="1" x14ac:dyDescent="0.2">
      <c r="A562" s="11"/>
      <c r="B562" s="149">
        <f>COUNTA(Spieltag!K549:AA549)</f>
        <v>0</v>
      </c>
      <c r="C562" s="166">
        <f>Spieltag!A549</f>
        <v>9</v>
      </c>
      <c r="D562" s="21" t="str">
        <f>Spieltag!B549</f>
        <v>Fraser Hornby (A)</v>
      </c>
      <c r="E562" s="12" t="str">
        <f>Spieltag!C549</f>
        <v>Sturm</v>
      </c>
      <c r="F562" s="13" t="s">
        <v>628</v>
      </c>
      <c r="G562" s="14"/>
      <c r="H562" s="15">
        <f t="shared" ref="H562:H563" si="1663">IF(G562="x",10,0)</f>
        <v>0</v>
      </c>
      <c r="I562" s="14"/>
      <c r="J562" s="15">
        <f t="shared" ref="J562:J563" si="1664">IF((I562="x"),-10,0)</f>
        <v>0</v>
      </c>
      <c r="K562" s="14"/>
      <c r="L562" s="15">
        <f t="shared" ref="L562:L563" si="1665">IF((K562="x"),-20,0)</f>
        <v>0</v>
      </c>
      <c r="M562" s="14"/>
      <c r="N562" s="15">
        <f t="shared" ref="N562:N563" si="1666">IF((M562="x"),-30,0)</f>
        <v>0</v>
      </c>
      <c r="O562" s="16">
        <f t="shared" ref="O562:O568" si="1667">IF(AND($P$7&gt;$Q$7),20,IF($P$7=$Q$7,10,0))</f>
        <v>0</v>
      </c>
      <c r="P562" s="16">
        <f t="shared" ref="P562:P568" si="1668">IF(($P$7&lt;&gt;0),$P$7*10,-5)</f>
        <v>-5</v>
      </c>
      <c r="Q562" s="16">
        <f t="shared" ref="Q562:Q568" si="1669">IF(($Q$7&lt;&gt;0),$Q$7*-10,5)</f>
        <v>-20</v>
      </c>
      <c r="R562" s="14"/>
      <c r="S562" s="15">
        <f t="shared" ref="S562:S563" si="1670">R562*10</f>
        <v>0</v>
      </c>
      <c r="T562" s="14"/>
      <c r="U562" s="15">
        <f t="shared" ref="U562:U563" si="1671">T562*-15</f>
        <v>0</v>
      </c>
      <c r="V562" s="16">
        <f t="shared" ref="V562:V563" si="1672">IF(AND(R562=2),10,IF(R562=3,30,IF(R562=4,50,IF(R562=5,70,0))))</f>
        <v>0</v>
      </c>
      <c r="W562" s="17">
        <f t="shared" ref="W562:W563" si="1673">IF(G562="x",H562+J562+L562+N562+O562+P562+Q562+S562+U562+V562,0)</f>
        <v>0</v>
      </c>
    </row>
    <row r="563" spans="1:23" ht="10.5" hidden="1" customHeight="1" x14ac:dyDescent="0.2">
      <c r="A563" s="11"/>
      <c r="B563" s="149">
        <f>COUNTA(Spieltag!K550:AA550)</f>
        <v>0</v>
      </c>
      <c r="C563" s="166">
        <f>Spieltag!A550</f>
        <v>22</v>
      </c>
      <c r="D563" s="21" t="str">
        <f>Spieltag!B550</f>
        <v>Aaron Seydel</v>
      </c>
      <c r="E563" s="12" t="str">
        <f>Spieltag!C550</f>
        <v>Sturm</v>
      </c>
      <c r="F563" s="13" t="s">
        <v>628</v>
      </c>
      <c r="G563" s="14"/>
      <c r="H563" s="15">
        <f t="shared" si="1663"/>
        <v>0</v>
      </c>
      <c r="I563" s="14"/>
      <c r="J563" s="15">
        <f t="shared" si="1664"/>
        <v>0</v>
      </c>
      <c r="K563" s="14"/>
      <c r="L563" s="15">
        <f t="shared" si="1665"/>
        <v>0</v>
      </c>
      <c r="M563" s="14"/>
      <c r="N563" s="15">
        <f t="shared" si="1666"/>
        <v>0</v>
      </c>
      <c r="O563" s="16">
        <f t="shared" si="1667"/>
        <v>0</v>
      </c>
      <c r="P563" s="16">
        <f t="shared" si="1668"/>
        <v>-5</v>
      </c>
      <c r="Q563" s="16">
        <f t="shared" si="1669"/>
        <v>-20</v>
      </c>
      <c r="R563" s="14"/>
      <c r="S563" s="15">
        <f t="shared" si="1670"/>
        <v>0</v>
      </c>
      <c r="T563" s="14"/>
      <c r="U563" s="15">
        <f t="shared" si="1671"/>
        <v>0</v>
      </c>
      <c r="V563" s="16">
        <f t="shared" si="1672"/>
        <v>0</v>
      </c>
      <c r="W563" s="17">
        <f t="shared" si="1673"/>
        <v>0</v>
      </c>
    </row>
    <row r="564" spans="1:23" ht="10.5" hidden="1" customHeight="1" x14ac:dyDescent="0.2">
      <c r="A564" s="11"/>
      <c r="B564" s="149">
        <f>COUNTA(Spieltag!K551:AA551)</f>
        <v>0</v>
      </c>
      <c r="C564" s="166">
        <f>Spieltag!A551</f>
        <v>24</v>
      </c>
      <c r="D564" s="21" t="str">
        <f>Spieltag!B551</f>
        <v>Luca Pfeiffer</v>
      </c>
      <c r="E564" s="12" t="str">
        <f>Spieltag!C551</f>
        <v>Sturm</v>
      </c>
      <c r="F564" s="13" t="s">
        <v>628</v>
      </c>
      <c r="G564" s="14"/>
      <c r="H564" s="15">
        <f t="shared" ref="H564:H567" si="1674">IF(G564="x",10,0)</f>
        <v>0</v>
      </c>
      <c r="I564" s="14"/>
      <c r="J564" s="15">
        <f t="shared" ref="J564:J567" si="1675">IF((I564="x"),-10,0)</f>
        <v>0</v>
      </c>
      <c r="K564" s="14"/>
      <c r="L564" s="15">
        <f t="shared" ref="L564:L567" si="1676">IF((K564="x"),-20,0)</f>
        <v>0</v>
      </c>
      <c r="M564" s="14"/>
      <c r="N564" s="15">
        <f t="shared" ref="N564:N567" si="1677">IF((M564="x"),-30,0)</f>
        <v>0</v>
      </c>
      <c r="O564" s="16">
        <f t="shared" si="1667"/>
        <v>0</v>
      </c>
      <c r="P564" s="16">
        <f t="shared" si="1668"/>
        <v>-5</v>
      </c>
      <c r="Q564" s="16">
        <f t="shared" si="1669"/>
        <v>-20</v>
      </c>
      <c r="R564" s="14"/>
      <c r="S564" s="15">
        <f t="shared" ref="S564:S567" si="1678">R564*10</f>
        <v>0</v>
      </c>
      <c r="T564" s="14"/>
      <c r="U564" s="15">
        <f t="shared" ref="U564:U567" si="1679">T564*-15</f>
        <v>0</v>
      </c>
      <c r="V564" s="16">
        <f t="shared" ref="V564:V567" si="1680">IF(AND(R564=2),10,IF(R564=3,30,IF(R564=4,50,IF(R564=5,70,0))))</f>
        <v>0</v>
      </c>
      <c r="W564" s="17">
        <f t="shared" ref="W564:W567" si="1681">IF(G564="x",H564+J564+L564+N564+O564+P564+Q564+S564+U564+V564,0)</f>
        <v>0</v>
      </c>
    </row>
    <row r="565" spans="1:23" ht="10.5" hidden="1" customHeight="1" x14ac:dyDescent="0.2">
      <c r="A565" s="11"/>
      <c r="B565" s="149">
        <f>COUNTA(Spieltag!K552:AA552)</f>
        <v>0</v>
      </c>
      <c r="C565" s="166">
        <f>Spieltag!A552</f>
        <v>25</v>
      </c>
      <c r="D565" s="21" t="str">
        <f>Spieltag!B552</f>
        <v>Gerrit Holtmann</v>
      </c>
      <c r="E565" s="12" t="str">
        <f>Spieltag!C552</f>
        <v>Sturm</v>
      </c>
      <c r="F565" s="13" t="s">
        <v>628</v>
      </c>
      <c r="G565" s="14"/>
      <c r="H565" s="15">
        <f>IF(G565="x",10,0)</f>
        <v>0</v>
      </c>
      <c r="I565" s="14"/>
      <c r="J565" s="15">
        <f>IF((I565="x"),-10,0)</f>
        <v>0</v>
      </c>
      <c r="K565" s="14"/>
      <c r="L565" s="15">
        <f>IF((K565="x"),-20,0)</f>
        <v>0</v>
      </c>
      <c r="M565" s="14"/>
      <c r="N565" s="15">
        <f>IF((M565="x"),-30,0)</f>
        <v>0</v>
      </c>
      <c r="O565" s="16">
        <f t="shared" si="1667"/>
        <v>0</v>
      </c>
      <c r="P565" s="16">
        <f t="shared" si="1668"/>
        <v>-5</v>
      </c>
      <c r="Q565" s="16">
        <f t="shared" si="1669"/>
        <v>-20</v>
      </c>
      <c r="R565" s="14"/>
      <c r="S565" s="15">
        <f>R565*10</f>
        <v>0</v>
      </c>
      <c r="T565" s="14"/>
      <c r="U565" s="15">
        <f>T565*-15</f>
        <v>0</v>
      </c>
      <c r="V565" s="16">
        <f>IF(AND(R565=2),10,IF(R565=3,30,IF(R565=4,50,IF(R565=5,70,0))))</f>
        <v>0</v>
      </c>
      <c r="W565" s="17">
        <f>IF(G565="x",H565+J565+L565+N565+O565+P565+Q565+S565+U565+V565,0)</f>
        <v>0</v>
      </c>
    </row>
    <row r="566" spans="1:23" ht="10.5" hidden="1" customHeight="1" x14ac:dyDescent="0.2">
      <c r="A566" s="11"/>
      <c r="B566" s="149">
        <f>COUNTA(Spieltag!K553:AA553)</f>
        <v>0</v>
      </c>
      <c r="C566" s="166">
        <f>Spieltag!A553</f>
        <v>27</v>
      </c>
      <c r="D566" s="21" t="str">
        <f>Spieltag!B553</f>
        <v>Tim Skarke</v>
      </c>
      <c r="E566" s="12" t="str">
        <f>Spieltag!C553</f>
        <v>Sturm</v>
      </c>
      <c r="F566" s="13" t="s">
        <v>628</v>
      </c>
      <c r="G566" s="14"/>
      <c r="H566" s="15">
        <f>IF(G566="x",10,0)</f>
        <v>0</v>
      </c>
      <c r="I566" s="14"/>
      <c r="J566" s="15">
        <f>IF((I566="x"),-10,0)</f>
        <v>0</v>
      </c>
      <c r="K566" s="14"/>
      <c r="L566" s="15">
        <f>IF((K566="x"),-20,0)</f>
        <v>0</v>
      </c>
      <c r="M566" s="14"/>
      <c r="N566" s="15">
        <f>IF((M566="x"),-30,0)</f>
        <v>0</v>
      </c>
      <c r="O566" s="16">
        <f t="shared" si="1667"/>
        <v>0</v>
      </c>
      <c r="P566" s="16">
        <f t="shared" si="1668"/>
        <v>-5</v>
      </c>
      <c r="Q566" s="16">
        <f t="shared" si="1669"/>
        <v>-20</v>
      </c>
      <c r="R566" s="14"/>
      <c r="S566" s="15">
        <f>R566*10</f>
        <v>0</v>
      </c>
      <c r="T566" s="14"/>
      <c r="U566" s="15">
        <f>T566*-15</f>
        <v>0</v>
      </c>
      <c r="V566" s="16">
        <f>IF(AND(R566=2),10,IF(R566=3,30,IF(R566=4,50,IF(R566=5,70,0))))</f>
        <v>0</v>
      </c>
      <c r="W566" s="17">
        <f>IF(G566="x",H566+J566+L566+N566+O566+P566+Q566+S566+U566+V566,0)</f>
        <v>0</v>
      </c>
    </row>
    <row r="567" spans="1:23" ht="10.5" hidden="1" customHeight="1" x14ac:dyDescent="0.2">
      <c r="A567" s="11"/>
      <c r="B567" s="149">
        <f>COUNTA(Spieltag!K554:AA554)</f>
        <v>0</v>
      </c>
      <c r="C567" s="166">
        <f>Spieltag!A554</f>
        <v>29</v>
      </c>
      <c r="D567" s="21" t="str">
        <f>Spieltag!B554</f>
        <v>Oscar Vilhelmsson (A)</v>
      </c>
      <c r="E567" s="12" t="str">
        <f>Spieltag!C554</f>
        <v>Sturm</v>
      </c>
      <c r="F567" s="13" t="s">
        <v>628</v>
      </c>
      <c r="G567" s="14"/>
      <c r="H567" s="15">
        <f t="shared" si="1674"/>
        <v>0</v>
      </c>
      <c r="I567" s="14"/>
      <c r="J567" s="15">
        <f t="shared" si="1675"/>
        <v>0</v>
      </c>
      <c r="K567" s="14"/>
      <c r="L567" s="15">
        <f t="shared" si="1676"/>
        <v>0</v>
      </c>
      <c r="M567" s="14"/>
      <c r="N567" s="15">
        <f t="shared" si="1677"/>
        <v>0</v>
      </c>
      <c r="O567" s="16">
        <f t="shared" si="1667"/>
        <v>0</v>
      </c>
      <c r="P567" s="16">
        <f t="shared" si="1668"/>
        <v>-5</v>
      </c>
      <c r="Q567" s="16">
        <f t="shared" si="1669"/>
        <v>-20</v>
      </c>
      <c r="R567" s="14"/>
      <c r="S567" s="15">
        <f t="shared" si="1678"/>
        <v>0</v>
      </c>
      <c r="T567" s="14"/>
      <c r="U567" s="15">
        <f t="shared" si="1679"/>
        <v>0</v>
      </c>
      <c r="V567" s="16">
        <f t="shared" si="1680"/>
        <v>0</v>
      </c>
      <c r="W567" s="17">
        <f t="shared" si="1681"/>
        <v>0</v>
      </c>
    </row>
    <row r="568" spans="1:23" ht="10.5" hidden="1" customHeight="1" x14ac:dyDescent="0.2">
      <c r="A568" s="11"/>
      <c r="B568" s="149">
        <f>COUNTA(Spieltag!K555:AA555)</f>
        <v>0</v>
      </c>
      <c r="C568" s="166">
        <f>Spieltag!A555</f>
        <v>42</v>
      </c>
      <c r="D568" s="21" t="str">
        <f>Spieltag!B555</f>
        <v>Fabio Torsiello</v>
      </c>
      <c r="E568" s="12" t="str">
        <f>Spieltag!C555</f>
        <v>Sturm</v>
      </c>
      <c r="F568" s="13" t="s">
        <v>628</v>
      </c>
      <c r="G568" s="14"/>
      <c r="H568" s="15">
        <f t="shared" ref="H568" si="1682">IF(G568="x",10,0)</f>
        <v>0</v>
      </c>
      <c r="I568" s="14"/>
      <c r="J568" s="15">
        <f t="shared" ref="J568" si="1683">IF((I568="x"),-10,0)</f>
        <v>0</v>
      </c>
      <c r="K568" s="14"/>
      <c r="L568" s="15">
        <f t="shared" ref="L568" si="1684">IF((K568="x"),-20,0)</f>
        <v>0</v>
      </c>
      <c r="M568" s="14"/>
      <c r="N568" s="15">
        <f t="shared" ref="N568" si="1685">IF((M568="x"),-30,0)</f>
        <v>0</v>
      </c>
      <c r="O568" s="16">
        <f t="shared" si="1667"/>
        <v>0</v>
      </c>
      <c r="P568" s="16">
        <f t="shared" si="1668"/>
        <v>-5</v>
      </c>
      <c r="Q568" s="16">
        <f t="shared" si="1669"/>
        <v>-20</v>
      </c>
      <c r="R568" s="14"/>
      <c r="S568" s="15">
        <f t="shared" ref="S568" si="1686">R568*10</f>
        <v>0</v>
      </c>
      <c r="T568" s="14"/>
      <c r="U568" s="15">
        <f t="shared" ref="U568" si="1687">T568*-15</f>
        <v>0</v>
      </c>
      <c r="V568" s="16">
        <f t="shared" ref="V568" si="1688">IF(AND(R568=2),10,IF(R568=3,30,IF(R568=4,50,IF(R568=5,70,0))))</f>
        <v>0</v>
      </c>
      <c r="W568" s="17">
        <f t="shared" ref="W568" si="1689">IF(G568="x",H568+J568+L568+N568+O568+P568+Q568+S568+U568+V568,0)</f>
        <v>0</v>
      </c>
    </row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ht="10.5" hidden="1" customHeight="1" x14ac:dyDescent="0.2"/>
    <row r="690" ht="10.5" hidden="1" customHeight="1" x14ac:dyDescent="0.2"/>
    <row r="691" ht="10.5" hidden="1" customHeight="1" x14ac:dyDescent="0.2"/>
    <row r="692" ht="10.5" hidden="1" customHeight="1" x14ac:dyDescent="0.2"/>
    <row r="693" ht="10.5" hidden="1" customHeight="1" x14ac:dyDescent="0.2"/>
    <row r="694" ht="10.5" hidden="1" customHeight="1" x14ac:dyDescent="0.2"/>
    <row r="695" ht="10.5" hidden="1" customHeight="1" x14ac:dyDescent="0.2"/>
    <row r="696" ht="10.5" hidden="1" customHeight="1" x14ac:dyDescent="0.2"/>
    <row r="697" ht="10.5" hidden="1" customHeight="1" x14ac:dyDescent="0.2"/>
    <row r="698" ht="10.5" hidden="1" customHeight="1" x14ac:dyDescent="0.2"/>
    <row r="699" ht="10.5" hidden="1" customHeight="1" x14ac:dyDescent="0.2"/>
    <row r="700" ht="10.5" hidden="1" customHeight="1" x14ac:dyDescent="0.2"/>
    <row r="701" ht="10.5" hidden="1" customHeight="1" x14ac:dyDescent="0.2"/>
    <row r="702" ht="10.5" hidden="1" customHeight="1" x14ac:dyDescent="0.2"/>
    <row r="703" ht="10.5" hidden="1" customHeight="1" x14ac:dyDescent="0.2"/>
    <row r="704" ht="10.5" hidden="1" customHeight="1" x14ac:dyDescent="0.2"/>
    <row r="705" spans="1:22" ht="10.5" hidden="1" customHeight="1" x14ac:dyDescent="0.2"/>
    <row r="706" spans="1:22" ht="10.5" hidden="1" customHeight="1" x14ac:dyDescent="0.2"/>
    <row r="707" spans="1:22" ht="10.5" hidden="1" customHeight="1" x14ac:dyDescent="0.2"/>
    <row r="708" spans="1:22" ht="10.5" hidden="1" customHeight="1" x14ac:dyDescent="0.2"/>
    <row r="709" spans="1:22" ht="10.5" hidden="1" customHeight="1" x14ac:dyDescent="0.2"/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  <row r="940" spans="1:22" s="147" customFormat="1" ht="10.5" customHeight="1" x14ac:dyDescent="0.2">
      <c r="A940" s="145"/>
      <c r="B940" s="145"/>
      <c r="C940" s="145"/>
      <c r="D940" s="146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</row>
    <row r="941" spans="1:22" s="147" customFormat="1" ht="10.5" customHeight="1" x14ac:dyDescent="0.2">
      <c r="A941" s="145"/>
      <c r="B941" s="145"/>
      <c r="C941" s="145"/>
      <c r="D941" s="146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</row>
    <row r="942" spans="1:22" s="147" customFormat="1" ht="10.5" customHeight="1" x14ac:dyDescent="0.2">
      <c r="A942" s="145"/>
      <c r="B942" s="145"/>
      <c r="C942" s="145"/>
      <c r="D942" s="146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</row>
    <row r="943" spans="1:22" s="147" customFormat="1" ht="10.5" customHeight="1" x14ac:dyDescent="0.2">
      <c r="A943" s="145"/>
      <c r="B943" s="145"/>
      <c r="C943" s="145"/>
      <c r="D943" s="146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</row>
    <row r="944" spans="1:22" s="147" customFormat="1" ht="10.5" customHeight="1" x14ac:dyDescent="0.2">
      <c r="A944" s="145"/>
      <c r="B944" s="145"/>
      <c r="C944" s="145"/>
      <c r="D944" s="146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</row>
    <row r="945" spans="1:22" s="147" customFormat="1" ht="10.5" customHeight="1" x14ac:dyDescent="0.2">
      <c r="A945" s="145"/>
      <c r="B945" s="145"/>
      <c r="C945" s="145"/>
      <c r="D945" s="146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</row>
    <row r="946" spans="1:22" s="147" customFormat="1" ht="10.5" customHeight="1" x14ac:dyDescent="0.2">
      <c r="A946" s="145"/>
      <c r="B946" s="145"/>
      <c r="C946" s="145"/>
      <c r="D946" s="146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</row>
    <row r="947" spans="1:22" s="147" customFormat="1" ht="10.5" customHeight="1" x14ac:dyDescent="0.2">
      <c r="A947" s="145"/>
      <c r="B947" s="145"/>
      <c r="C947" s="145"/>
      <c r="D947" s="146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</row>
    <row r="948" spans="1:22" s="147" customFormat="1" ht="10.5" customHeight="1" x14ac:dyDescent="0.2">
      <c r="A948" s="145"/>
      <c r="B948" s="145"/>
      <c r="C948" s="145"/>
      <c r="D948" s="146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</row>
    <row r="949" spans="1:22" s="147" customFormat="1" ht="10.5" customHeight="1" x14ac:dyDescent="0.2">
      <c r="A949" s="145"/>
      <c r="B949" s="145"/>
      <c r="C949" s="145"/>
      <c r="D949" s="146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</row>
    <row r="950" spans="1:22" s="147" customFormat="1" ht="10.5" customHeight="1" x14ac:dyDescent="0.2">
      <c r="A950" s="145"/>
      <c r="B950" s="145"/>
      <c r="C950" s="145"/>
      <c r="D950" s="146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</row>
    <row r="951" spans="1:22" s="147" customFormat="1" ht="10.5" customHeight="1" x14ac:dyDescent="0.2">
      <c r="A951" s="145"/>
      <c r="B951" s="145"/>
      <c r="C951" s="145"/>
      <c r="D951" s="146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</row>
    <row r="952" spans="1:22" s="147" customFormat="1" ht="10.5" customHeight="1" x14ac:dyDescent="0.2">
      <c r="A952" s="145"/>
      <c r="B952" s="145"/>
      <c r="C952" s="145"/>
      <c r="D952" s="146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</row>
    <row r="953" spans="1:22" s="147" customFormat="1" ht="10.5" customHeight="1" x14ac:dyDescent="0.2">
      <c r="A953" s="145"/>
      <c r="B953" s="145"/>
      <c r="C953" s="145"/>
      <c r="D953" s="146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</row>
    <row r="954" spans="1:22" s="147" customFormat="1" ht="10.5" customHeight="1" x14ac:dyDescent="0.2">
      <c r="A954" s="145"/>
      <c r="B954" s="145"/>
      <c r="C954" s="145"/>
      <c r="D954" s="146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</row>
  </sheetData>
  <autoFilter ref="A1:A2" xr:uid="{00000000-0009-0000-0000-000002000000}"/>
  <mergeCells count="47">
    <mergeCell ref="D538:W538"/>
    <mergeCell ref="D244:W244"/>
    <mergeCell ref="D332:W332"/>
    <mergeCell ref="D113:W113"/>
    <mergeCell ref="D272:W272"/>
    <mergeCell ref="D205:W205"/>
    <mergeCell ref="D449:W449"/>
    <mergeCell ref="D509:W509"/>
    <mergeCell ref="D140:W140"/>
    <mergeCell ref="D364:W364"/>
    <mergeCell ref="D301:W301"/>
    <mergeCell ref="D86:W86"/>
    <mergeCell ref="D49:W49"/>
    <mergeCell ref="D392:W392"/>
    <mergeCell ref="D174:W174"/>
    <mergeCell ref="D477:W477"/>
    <mergeCell ref="D419:W41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L7:O7"/>
    <mergeCell ref="L9:O9"/>
    <mergeCell ref="L8:O8"/>
    <mergeCell ref="R7:U7"/>
    <mergeCell ref="R8:U8"/>
    <mergeCell ref="R9:U9"/>
    <mergeCell ref="L3:O3"/>
    <mergeCell ref="R3:U3"/>
    <mergeCell ref="R4:U4"/>
    <mergeCell ref="R5:U5"/>
    <mergeCell ref="L6:O6"/>
    <mergeCell ref="R6:U6"/>
    <mergeCell ref="L4:O4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11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F50" sqref="F50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33</v>
      </c>
      <c r="E3" s="32" t="s">
        <v>6</v>
      </c>
      <c r="F3" s="29"/>
      <c r="G3" s="30" t="s">
        <v>92</v>
      </c>
      <c r="H3" s="31">
        <f>'[2]Bax de Luxe'!$B$3</f>
        <v>33</v>
      </c>
      <c r="I3" s="32" t="s">
        <v>6</v>
      </c>
      <c r="J3" s="29"/>
      <c r="K3" s="30" t="s">
        <v>92</v>
      </c>
      <c r="L3" s="31">
        <f>[2]Nobody!$B$3</f>
        <v>34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VLOOKUP(B5,Spieltag!$K$2:$AB$1576,18,0)</f>
        <v>Kevin Trapp</v>
      </c>
      <c r="D5" s="115" t="str">
        <f>VLOOKUP(C5,Auswertung!$D$15:$F$1467,3,0)</f>
        <v>Frankfurt</v>
      </c>
      <c r="E5" s="116">
        <f>VLOOKUP(C5,Auswertung!$D$15:$W$1467,20,0)</f>
        <v>-15</v>
      </c>
      <c r="F5" s="39">
        <v>1</v>
      </c>
      <c r="G5" s="114" t="str">
        <f>VLOOKUP(F5,Spieltag!$L$2:$AB$1576,17,0)</f>
        <v>Kevin Trapp</v>
      </c>
      <c r="H5" s="115" t="str">
        <f>VLOOKUP(G5,Auswertung!$D$15:$F$1467,3,0)</f>
        <v>Frankfurt</v>
      </c>
      <c r="I5" s="116">
        <f>VLOOKUP(G5,Auswertung!$D$15:$W$1467,20,0)</f>
        <v>-15</v>
      </c>
      <c r="J5" s="39">
        <v>1</v>
      </c>
      <c r="K5" s="114" t="str">
        <f>VLOOKUP(J5,Spieltag!$M$2:$AB$1576,16,0)</f>
        <v>Janis Blaswich</v>
      </c>
      <c r="L5" s="115" t="str">
        <f>VLOOKUP(K5,Auswertung!$D$15:$F$1467,3,0)</f>
        <v>Leipzig</v>
      </c>
      <c r="M5" s="116">
        <f>VLOOKUP(K5,Auswertung!$D$15:$W$1467,20,0)</f>
        <v>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VLOOKUP(B6,Spieltag!$K$2:$AB$1576,18,0)</f>
        <v>Nico Schlotterbeck</v>
      </c>
      <c r="D6" s="118" t="str">
        <f>VLOOKUP(C6,Auswertung!$D$15:$F$1467,3,0)</f>
        <v>Dortmund</v>
      </c>
      <c r="E6" s="119">
        <f>VLOOKUP(C6,Auswertung!$D$15:$W$1467,20,0)</f>
        <v>30</v>
      </c>
      <c r="F6" s="39">
        <v>2</v>
      </c>
      <c r="G6" s="117" t="str">
        <f>VLOOKUP(F6,Spieltag!$L$2:$AB$1576,17,0)</f>
        <v>Matthias Ginter</v>
      </c>
      <c r="H6" s="118" t="str">
        <f>VLOOKUP(G6,Auswertung!$D$15:$F$1467,3,0)</f>
        <v>Freiburg</v>
      </c>
      <c r="I6" s="119">
        <f>VLOOKUP(G6,Auswertung!$D$15:$W$1467,20,0)</f>
        <v>-20</v>
      </c>
      <c r="J6" s="39">
        <v>2</v>
      </c>
      <c r="K6" s="117" t="str">
        <f>VLOOKUP(J6,Spieltag!$M$2:$AB$1576,16,0)</f>
        <v>Mats Hummels</v>
      </c>
      <c r="L6" s="118" t="str">
        <f>VLOOKUP(K6,Auswertung!$D$15:$F$1467,3,0)</f>
        <v>Dortmund</v>
      </c>
      <c r="M6" s="119">
        <f>VLOOKUP(K6,Auswertung!$D$15:$W$1467,20,0)</f>
        <v>0</v>
      </c>
    </row>
    <row r="7" spans="1:13" ht="11.25" customHeight="1" x14ac:dyDescent="0.2">
      <c r="A7" s="41"/>
      <c r="B7" s="27">
        <v>3</v>
      </c>
      <c r="C7" s="117" t="str">
        <f>VLOOKUP(B7,Spieltag!$K$2:$AB$1576,18,0)</f>
        <v>Alejandro Grimaldo (A)</v>
      </c>
      <c r="D7" s="118" t="str">
        <f>VLOOKUP(C7,Auswertung!$D$15:$F$1467,3,0)</f>
        <v>Leverkusen</v>
      </c>
      <c r="E7" s="119">
        <f>VLOOKUP(C7,Auswertung!$D$15:$W$1467,20,0)</f>
        <v>65</v>
      </c>
      <c r="F7" s="42">
        <v>3</v>
      </c>
      <c r="G7" s="117" t="str">
        <f>VLOOKUP(F7,Spieltag!$L$2:$AB$1576,17,0)</f>
        <v>Nico Schlotterbeck</v>
      </c>
      <c r="H7" s="118" t="str">
        <f>VLOOKUP(G7,Auswertung!$D$15:$F$1467,3,0)</f>
        <v>Dortmund</v>
      </c>
      <c r="I7" s="119">
        <f>VLOOKUP(G7,Auswertung!$D$15:$W$1467,20,0)</f>
        <v>30</v>
      </c>
      <c r="J7" s="42">
        <v>3</v>
      </c>
      <c r="K7" s="117" t="str">
        <f>VLOOKUP(J7,Spieltag!$M$2:$AB$1576,16,0)</f>
        <v>Nico Schlotterbeck</v>
      </c>
      <c r="L7" s="118" t="str">
        <f>VLOOKUP(K7,Auswertung!$D$15:$F$1467,3,0)</f>
        <v>Dortmund</v>
      </c>
      <c r="M7" s="119">
        <f>VLOOKUP(K7,Auswertung!$D$15:$W$1467,20,0)</f>
        <v>30</v>
      </c>
    </row>
    <row r="8" spans="1:13" ht="11.25" customHeight="1" x14ac:dyDescent="0.2">
      <c r="A8" s="41"/>
      <c r="B8" s="27">
        <v>4</v>
      </c>
      <c r="C8" s="117" t="str">
        <f>VLOOKUP(B8,Spieltag!$K$2:$AB$1576,18,0)</f>
        <v>Matthias Ginter</v>
      </c>
      <c r="D8" s="118" t="str">
        <f>VLOOKUP(C8,Auswertung!$D$15:$F$1467,3,0)</f>
        <v>Freiburg</v>
      </c>
      <c r="E8" s="119">
        <f>VLOOKUP(C8,Auswertung!$D$15:$W$1467,20,0)</f>
        <v>-20</v>
      </c>
      <c r="F8" s="42">
        <v>4</v>
      </c>
      <c r="G8" s="117" t="str">
        <f>VLOOKUP(F8,Spieltag!$L$2:$AB$1576,17,0)</f>
        <v>David Raum</v>
      </c>
      <c r="H8" s="118" t="str">
        <f>VLOOKUP(G8,Auswertung!$D$15:$F$1467,3,0)</f>
        <v>Leipzig</v>
      </c>
      <c r="I8" s="119">
        <f>VLOOKUP(G8,Auswertung!$D$15:$W$1467,20,0)</f>
        <v>65</v>
      </c>
      <c r="J8" s="42">
        <v>4</v>
      </c>
      <c r="K8" s="117" t="str">
        <f>VLOOKUP(J8,Spieltag!$M$2:$AB$1576,16,0)</f>
        <v>Matthias Ginter</v>
      </c>
      <c r="L8" s="118" t="str">
        <f>VLOOKUP(K8,Auswertung!$D$15:$F$1467,3,0)</f>
        <v>Freiburg</v>
      </c>
      <c r="M8" s="119">
        <f>VLOOKUP(K8,Auswertung!$D$15:$W$1467,20,0)</f>
        <v>-20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VLOOKUP(B9,Spieltag!$K$2:$AB$1576,18,0)</f>
        <v>Dani Olmo (A)</v>
      </c>
      <c r="D9" s="121" t="str">
        <f>VLOOKUP(C9,Auswertung!$D$15:$F$1467,3,0)</f>
        <v>Leipzig</v>
      </c>
      <c r="E9" s="122">
        <f>VLOOKUP(C9,Auswertung!$D$15:$W$1467,20,0)</f>
        <v>60</v>
      </c>
      <c r="F9" s="39">
        <v>5</v>
      </c>
      <c r="G9" s="120" t="str">
        <f>VLOOKUP(F9,Spieltag!$L$2:$AB$1576,17,0)</f>
        <v>Janik Haberer</v>
      </c>
      <c r="H9" s="121" t="str">
        <f>VLOOKUP(G9,Auswertung!$D$15:$F$1467,3,0)</f>
        <v>Union Berlin</v>
      </c>
      <c r="I9" s="122">
        <f>VLOOKUP(G9,Auswertung!$D$15:$W$1467,20,0)</f>
        <v>-15</v>
      </c>
      <c r="J9" s="39">
        <v>5</v>
      </c>
      <c r="K9" s="120" t="str">
        <f>VLOOKUP(J9,Spieltag!$M$2:$AB$1576,16,0)</f>
        <v>Dani Olmo (A)</v>
      </c>
      <c r="L9" s="121" t="str">
        <f>VLOOKUP(K9,Auswertung!$D$15:$F$1467,3,0)</f>
        <v>Leipzig</v>
      </c>
      <c r="M9" s="122">
        <f>VLOOKUP(K9,Auswertung!$D$15:$W$1467,20,0)</f>
        <v>60</v>
      </c>
    </row>
    <row r="10" spans="1:13" ht="11.25" customHeight="1" x14ac:dyDescent="0.2">
      <c r="A10" s="43"/>
      <c r="B10" s="38">
        <v>6</v>
      </c>
      <c r="C10" s="120" t="str">
        <f>VLOOKUP(B10,Spieltag!$K$2:$AB$1576,18,0)</f>
        <v>Julian Brandt</v>
      </c>
      <c r="D10" s="121" t="str">
        <f>VLOOKUP(C10,Auswertung!$D$15:$F$1467,3,0)</f>
        <v>Dortmund</v>
      </c>
      <c r="E10" s="122">
        <f>VLOOKUP(C10,Auswertung!$D$15:$W$1467,20,0)</f>
        <v>0</v>
      </c>
      <c r="F10" s="39">
        <v>6</v>
      </c>
      <c r="G10" s="120" t="str">
        <f>VLOOKUP(F10,Spieltag!$L$2:$AB$1576,17,0)</f>
        <v>Florian Wirtz</v>
      </c>
      <c r="H10" s="121" t="str">
        <f>VLOOKUP(G10,Auswertung!$D$15:$F$1467,3,0)</f>
        <v>Leverkusen</v>
      </c>
      <c r="I10" s="122">
        <f>VLOOKUP(G10,Auswertung!$D$15:$W$1467,20,0)</f>
        <v>60</v>
      </c>
      <c r="J10" s="39">
        <v>6</v>
      </c>
      <c r="K10" s="120" t="str">
        <f>VLOOKUP(J10,Spieltag!$M$2:$AB$1576,16,0)</f>
        <v>Jonas Hofmann</v>
      </c>
      <c r="L10" s="121" t="str">
        <f>VLOOKUP(K10,Auswertung!$D$15:$F$1467,3,0)</f>
        <v>Leverkusen</v>
      </c>
      <c r="M10" s="122">
        <f>VLOOKUP(K10,Auswertung!$D$15:$W$1467,20,0)</f>
        <v>60</v>
      </c>
    </row>
    <row r="11" spans="1:13" ht="11.25" customHeight="1" x14ac:dyDescent="0.2">
      <c r="A11" s="44"/>
      <c r="B11" s="27">
        <v>7</v>
      </c>
      <c r="C11" s="120" t="str">
        <f>VLOOKUP(B11,Spieltag!$K$2:$AB$1576,18,0)</f>
        <v>Florian Wirtz</v>
      </c>
      <c r="D11" s="121" t="str">
        <f>VLOOKUP(C11,Auswertung!$D$15:$F$1467,3,0)</f>
        <v>Leverkusen</v>
      </c>
      <c r="E11" s="122">
        <f>VLOOKUP(C11,Auswertung!$D$15:$W$1467,20,0)</f>
        <v>60</v>
      </c>
      <c r="F11" s="42">
        <v>7</v>
      </c>
      <c r="G11" s="120" t="str">
        <f>VLOOKUP(F11,Spieltag!$L$2:$AB$1576,17,0)</f>
        <v>Jonas Hofmann</v>
      </c>
      <c r="H11" s="121" t="str">
        <f>VLOOKUP(G11,Auswertung!$D$15:$F$1467,3,0)</f>
        <v>Leverkusen</v>
      </c>
      <c r="I11" s="122">
        <f>VLOOKUP(G11,Auswertung!$D$15:$W$1467,20,0)</f>
        <v>60</v>
      </c>
      <c r="J11" s="42">
        <v>7</v>
      </c>
      <c r="K11" s="120" t="str">
        <f>VLOOKUP(J11,Spieltag!$M$2:$AB$1576,16,0)</f>
        <v>Vincenzo Grifo</v>
      </c>
      <c r="L11" s="121" t="str">
        <f>VLOOKUP(K11,Auswertung!$D$15:$F$1467,3,0)</f>
        <v>Freiburg</v>
      </c>
      <c r="M11" s="122">
        <f>VLOOKUP(K11,Auswertung!$D$15:$W$1467,20,0)</f>
        <v>-10</v>
      </c>
    </row>
    <row r="12" spans="1:13" ht="11.25" customHeight="1" x14ac:dyDescent="0.2">
      <c r="A12" s="44"/>
      <c r="B12" s="27">
        <v>8</v>
      </c>
      <c r="C12" s="120" t="str">
        <f>VLOOKUP(B12,Spieltag!$K$2:$AB$1576,18,0)</f>
        <v>Jamal Musiala</v>
      </c>
      <c r="D12" s="121" t="str">
        <f>VLOOKUP(C12,Auswertung!$D$15:$F$1467,3,0)</f>
        <v>München</v>
      </c>
      <c r="E12" s="122">
        <f>VLOOKUP(C12,Auswertung!$D$15:$W$1467,20,0)</f>
        <v>50</v>
      </c>
      <c r="F12" s="42">
        <v>8</v>
      </c>
      <c r="G12" s="120" t="str">
        <f>VLOOKUP(F12,Spieltag!$L$2:$AB$1576,17,0)</f>
        <v>Jamal Musiala</v>
      </c>
      <c r="H12" s="121" t="str">
        <f>VLOOKUP(G12,Auswertung!$D$15:$F$1467,3,0)</f>
        <v>München</v>
      </c>
      <c r="I12" s="122">
        <f>VLOOKUP(G12,Auswertung!$D$15:$W$1467,20,0)</f>
        <v>50</v>
      </c>
      <c r="J12" s="42">
        <v>8</v>
      </c>
      <c r="K12" s="120" t="str">
        <f>VLOOKUP(J12,Spieltag!$M$2:$AB$1576,16,0)</f>
        <v>Mario Götze</v>
      </c>
      <c r="L12" s="121" t="str">
        <f>VLOOKUP(K12,Auswertung!$D$15:$F$1467,3,0)</f>
        <v>Frankfurt</v>
      </c>
      <c r="M12" s="122">
        <f>VLOOKUP(K12,Auswertung!$D$15:$W$1467,20,0)</f>
        <v>-15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VLOOKUP(B13,Spieltag!$K$2:$AB$1576,18,0)</f>
        <v>Harry Kane (A)</v>
      </c>
      <c r="D13" s="124" t="str">
        <f>VLOOKUP(C13,Auswertung!$D$15:$F$1467,3,0)</f>
        <v>München</v>
      </c>
      <c r="E13" s="125">
        <f>VLOOKUP(C13,Auswertung!$D$15:$W$1467,20,0)</f>
        <v>60</v>
      </c>
      <c r="F13" s="39">
        <v>9</v>
      </c>
      <c r="G13" s="123" t="str">
        <f>VLOOKUP(F13,Spieltag!$L$2:$AB$1576,17,0)</f>
        <v>Harry Kane (A)</v>
      </c>
      <c r="H13" s="124" t="str">
        <f>VLOOKUP(G13,Auswertung!$D$15:$F$1467,3,0)</f>
        <v>München</v>
      </c>
      <c r="I13" s="125">
        <f>VLOOKUP(G13,Auswertung!$D$15:$W$1467,20,0)</f>
        <v>60</v>
      </c>
      <c r="J13" s="39">
        <v>9</v>
      </c>
      <c r="K13" s="123" t="str">
        <f>VLOOKUP(J13,Spieltag!$M$2:$AB$1576,16,0)</f>
        <v>Harry Kane (A)</v>
      </c>
      <c r="L13" s="124" t="str">
        <f>VLOOKUP(K13,Auswertung!$D$15:$F$1467,3,0)</f>
        <v>München</v>
      </c>
      <c r="M13" s="125">
        <f>VLOOKUP(K13,Auswertung!$D$15:$W$1467,20,0)</f>
        <v>60</v>
      </c>
    </row>
    <row r="14" spans="1:13" ht="11.25" customHeight="1" x14ac:dyDescent="0.2">
      <c r="A14" s="46"/>
      <c r="B14" s="27">
        <v>10</v>
      </c>
      <c r="C14" s="123" t="str">
        <f>VLOOKUP(B14,Spieltag!$K$2:$AB$1576,18,0)</f>
        <v>Loїs Openda (A)</v>
      </c>
      <c r="D14" s="124" t="str">
        <f>VLOOKUP(C14,Auswertung!$D$15:$F$1467,3,0)</f>
        <v>Leipzig</v>
      </c>
      <c r="E14" s="125">
        <f>VLOOKUP(C14,Auswertung!$D$15:$W$1467,20,0)</f>
        <v>65</v>
      </c>
      <c r="F14" s="42">
        <v>10</v>
      </c>
      <c r="G14" s="123" t="str">
        <f>VLOOKUP(F14,Spieltag!$L$2:$AB$1576,17,0)</f>
        <v>Ansgar Knauff</v>
      </c>
      <c r="H14" s="124" t="str">
        <f>VLOOKUP(G14,Auswertung!$D$15:$F$1467,3,0)</f>
        <v>Frankfurt</v>
      </c>
      <c r="I14" s="125">
        <f>VLOOKUP(G14,Auswertung!$D$15:$W$1467,20,0)</f>
        <v>-15</v>
      </c>
      <c r="J14" s="42">
        <v>10</v>
      </c>
      <c r="K14" s="123" t="str">
        <f>VLOOKUP(J14,Spieltag!$M$2:$AB$1576,16,0)</f>
        <v>Leroy Sané</v>
      </c>
      <c r="L14" s="124" t="str">
        <f>VLOOKUP(K14,Auswertung!$D$15:$F$1467,3,0)</f>
        <v>München</v>
      </c>
      <c r="M14" s="125">
        <f>VLOOKUP(K14,Auswertung!$D$15:$W$1467,20,0)</f>
        <v>50</v>
      </c>
    </row>
    <row r="15" spans="1:13" ht="11.25" customHeight="1" x14ac:dyDescent="0.2">
      <c r="A15" s="46"/>
      <c r="B15" s="27">
        <v>11</v>
      </c>
      <c r="C15" s="123" t="str">
        <f>VLOOKUP(B15,Spieltag!$K$2:$AB$1576,18,0)</f>
        <v>Ansgar Knauff</v>
      </c>
      <c r="D15" s="124" t="str">
        <f>VLOOKUP(C15,Auswertung!$D$15:$F$1467,3,0)</f>
        <v>Frankfurt</v>
      </c>
      <c r="E15" s="125">
        <f>VLOOKUP(C15,Auswertung!$D$15:$W$1467,20,0)</f>
        <v>-15</v>
      </c>
      <c r="F15" s="42">
        <v>11</v>
      </c>
      <c r="G15" s="123" t="str">
        <f>VLOOKUP(F15,Spieltag!$L$2:$AB$1576,17,0)</f>
        <v>Niclas Füllkrug</v>
      </c>
      <c r="H15" s="124" t="str">
        <f>VLOOKUP(G15,Auswertung!$D$15:$F$1467,3,0)</f>
        <v>Dortmund</v>
      </c>
      <c r="I15" s="125">
        <f>VLOOKUP(G15,Auswertung!$D$15:$W$1467,20,0)</f>
        <v>20</v>
      </c>
      <c r="J15" s="42">
        <v>11</v>
      </c>
      <c r="K15" s="123" t="str">
        <f>VLOOKUP(J15,Spieltag!$M$2:$AB$1576,16,0)</f>
        <v>Patrick Schick (A)</v>
      </c>
      <c r="L15" s="124" t="str">
        <f>VLOOKUP(K15,Auswertung!$D$15:$F$1467,3,0)</f>
        <v>Leverkusen</v>
      </c>
      <c r="M15" s="125">
        <f>VLOOKUP(K15,Auswertung!$D$15:$W$1467,20,0)</f>
        <v>0</v>
      </c>
    </row>
    <row r="16" spans="1:13" ht="11.25" customHeight="1" thickBot="1" x14ac:dyDescent="0.25">
      <c r="E16" s="47">
        <f>SUM(E5:E15)</f>
        <v>340</v>
      </c>
      <c r="G16" s="208"/>
      <c r="I16" s="47">
        <f>SUM(I5:I15)</f>
        <v>280</v>
      </c>
      <c r="M16" s="47">
        <f>SUM(M5:M15)</f>
        <v>215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33</v>
      </c>
      <c r="E20" s="32" t="s">
        <v>6</v>
      </c>
      <c r="F20" s="29"/>
      <c r="G20" s="30" t="s">
        <v>92</v>
      </c>
      <c r="H20" s="31">
        <f>[2]Pitti!$B$3</f>
        <v>30</v>
      </c>
      <c r="I20" s="32" t="s">
        <v>6</v>
      </c>
      <c r="J20" s="29"/>
      <c r="K20" s="30" t="s">
        <v>92</v>
      </c>
      <c r="L20" s="31">
        <f>[2]Himmelfahrtskommando!$B$3</f>
        <v>31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VLOOKUP(B22,Spieltag!$N$2:$AB$1576,15,0)</f>
        <v>Manuel Neuer</v>
      </c>
      <c r="D22" s="115" t="str">
        <f>VLOOKUP(C22,Auswertung!$D$15:$F$1467,3,0)</f>
        <v>München</v>
      </c>
      <c r="E22" s="116">
        <f>VLOOKUP(C22,Auswertung!$D$15:$W$1467,20,0)</f>
        <v>50</v>
      </c>
      <c r="F22" s="38">
        <v>1</v>
      </c>
      <c r="G22" s="114" t="str">
        <f>VLOOKUP(F22,Spieltag!$O$2:$AB$1576,14,0)</f>
        <v>Manuel Neuer</v>
      </c>
      <c r="H22" s="115" t="str">
        <f>VLOOKUP(G22,Auswertung!$D$15:$F$1467,3,0)</f>
        <v>München</v>
      </c>
      <c r="I22" s="116">
        <f>VLOOKUP(G22,Auswertung!$D$15:$W$1467,20,0)</f>
        <v>50</v>
      </c>
      <c r="J22" s="39">
        <v>1</v>
      </c>
      <c r="K22" s="114" t="str">
        <f>VLOOKUP(J22,Spieltag!$P$2:$AB$1576,13,0)</f>
        <v>Janis Blaswich</v>
      </c>
      <c r="L22" s="115" t="str">
        <f>VLOOKUP(K22,Auswertung!$D$15:$F$1467,3,0)</f>
        <v>Leipzig</v>
      </c>
      <c r="M22" s="116">
        <f>VLOOKUP(K22,Auswertung!$D$15:$W$1467,20,0)</f>
        <v>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VLOOKUP(B23,Spieltag!$N$2:$AB$1576,15,0)</f>
        <v>Nico Schlotterbeck</v>
      </c>
      <c r="D23" s="118" t="str">
        <f>VLOOKUP(C23,Auswertung!$D$15:$F$1467,3,0)</f>
        <v>Dortmund</v>
      </c>
      <c r="E23" s="119">
        <f>VLOOKUP(C23,Auswertung!$D$15:$W$1467,20,0)</f>
        <v>30</v>
      </c>
      <c r="F23" s="38">
        <v>2</v>
      </c>
      <c r="G23" s="117" t="str">
        <f>VLOOKUP(F23,Spieltag!$O$2:$AB$1576,14,0)</f>
        <v>David Raum</v>
      </c>
      <c r="H23" s="118" t="str">
        <f>VLOOKUP(G23,Auswertung!$D$15:$F$1467,3,0)</f>
        <v>Leipzig</v>
      </c>
      <c r="I23" s="119">
        <f>VLOOKUP(G23,Auswertung!$D$15:$W$1467,20,0)</f>
        <v>65</v>
      </c>
      <c r="J23" s="39">
        <v>2</v>
      </c>
      <c r="K23" s="117" t="str">
        <f>VLOOKUP(J23,Spieltag!$P$2:$AB$1576,13,0)</f>
        <v>David Raum</v>
      </c>
      <c r="L23" s="118" t="str">
        <f>VLOOKUP(K23,Auswertung!$D$15:$F$1467,3,0)</f>
        <v>Leipzig</v>
      </c>
      <c r="M23" s="119">
        <f>VLOOKUP(K23,Auswertung!$D$15:$W$1467,20,0)</f>
        <v>65</v>
      </c>
    </row>
    <row r="24" spans="1:13" ht="11.25" customHeight="1" x14ac:dyDescent="0.2">
      <c r="A24" s="41"/>
      <c r="B24" s="42">
        <v>3</v>
      </c>
      <c r="C24" s="117" t="str">
        <f>VLOOKUP(B24,Spieltag!$N$2:$AB$1576,15,0)</f>
        <v>David Raum</v>
      </c>
      <c r="D24" s="118" t="str">
        <f>VLOOKUP(C24,Auswertung!$D$15:$F$1467,3,0)</f>
        <v>Leipzig</v>
      </c>
      <c r="E24" s="119">
        <f>VLOOKUP(C24,Auswertung!$D$15:$W$1467,20,0)</f>
        <v>65</v>
      </c>
      <c r="F24" s="27">
        <v>3</v>
      </c>
      <c r="G24" s="117" t="str">
        <f>VLOOKUP(F24,Spieltag!$O$2:$AB$1576,14,0)</f>
        <v>Niklas Süle</v>
      </c>
      <c r="H24" s="118" t="str">
        <f>VLOOKUP(G24,Auswertung!$D$15:$F$1467,3,0)</f>
        <v>Dortmund</v>
      </c>
      <c r="I24" s="119">
        <f>VLOOKUP(G24,Auswertung!$D$15:$W$1467,20,0)</f>
        <v>30</v>
      </c>
      <c r="J24" s="42">
        <v>3</v>
      </c>
      <c r="K24" s="117" t="str">
        <f>VLOOKUP(J24,Spieltag!$P$2:$AB$1576,13,0)</f>
        <v>Nico Schlotterbeck</v>
      </c>
      <c r="L24" s="118" t="str">
        <f>VLOOKUP(K24,Auswertung!$D$15:$F$1467,3,0)</f>
        <v>Dortmund</v>
      </c>
      <c r="M24" s="119">
        <f>VLOOKUP(K24,Auswertung!$D$15:$W$1467,20,0)</f>
        <v>30</v>
      </c>
    </row>
    <row r="25" spans="1:13" ht="11.25" customHeight="1" x14ac:dyDescent="0.2">
      <c r="A25" s="41"/>
      <c r="B25" s="42">
        <v>4</v>
      </c>
      <c r="C25" s="117" t="str">
        <f>VLOOKUP(B25,Spieltag!$N$2:$AB$1576,15,0)</f>
        <v>Robin Koch</v>
      </c>
      <c r="D25" s="118" t="str">
        <f>VLOOKUP(C25,Auswertung!$D$15:$F$1467,3,0)</f>
        <v>Frankfurt</v>
      </c>
      <c r="E25" s="119">
        <f>VLOOKUP(C25,Auswertung!$D$15:$W$1467,20,0)</f>
        <v>-15</v>
      </c>
      <c r="F25" s="27">
        <v>4</v>
      </c>
      <c r="G25" s="117" t="str">
        <f>VLOOKUP(F25,Spieltag!$O$2:$AB$1576,14,0)</f>
        <v>Robin Koch</v>
      </c>
      <c r="H25" s="118" t="str">
        <f>VLOOKUP(G25,Auswertung!$D$15:$F$1467,3,0)</f>
        <v>Frankfurt</v>
      </c>
      <c r="I25" s="119">
        <f>VLOOKUP(G25,Auswertung!$D$15:$W$1467,20,0)</f>
        <v>-15</v>
      </c>
      <c r="J25" s="42">
        <v>4</v>
      </c>
      <c r="K25" s="117" t="str">
        <f>VLOOKUP(J25,Spieltag!$P$2:$AB$1576,13,0)</f>
        <v>Robin Koch</v>
      </c>
      <c r="L25" s="118" t="str">
        <f>VLOOKUP(K25,Auswertung!$D$15:$F$1467,3,0)</f>
        <v>Frankfurt</v>
      </c>
      <c r="M25" s="119">
        <f>VLOOKUP(K25,Auswertung!$D$15:$W$1467,20,0)</f>
        <v>-15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VLOOKUP(B26,Spieltag!$N$2:$AB$1576,15,0)</f>
        <v>Julian Brandt</v>
      </c>
      <c r="D26" s="121" t="str">
        <f>VLOOKUP(C26,Auswertung!$D$15:$F$1467,3,0)</f>
        <v>Dortmund</v>
      </c>
      <c r="E26" s="122">
        <f>VLOOKUP(C26,Auswertung!$D$15:$W$1467,20,0)</f>
        <v>0</v>
      </c>
      <c r="F26" s="38">
        <v>5</v>
      </c>
      <c r="G26" s="120" t="str">
        <f>VLOOKUP(F26,Spieltag!$O$2:$AB$1576,14,0)</f>
        <v>Florian Wirtz</v>
      </c>
      <c r="H26" s="121" t="str">
        <f>VLOOKUP(G26,Auswertung!$D$15:$F$1467,3,0)</f>
        <v>Leverkusen</v>
      </c>
      <c r="I26" s="122">
        <f>VLOOKUP(G26,Auswertung!$D$15:$W$1467,20,0)</f>
        <v>60</v>
      </c>
      <c r="J26" s="39">
        <v>5</v>
      </c>
      <c r="K26" s="120" t="str">
        <f>VLOOKUP(J26,Spieltag!$P$2:$AB$1576,13,0)</f>
        <v>Florian Wirtz</v>
      </c>
      <c r="L26" s="121" t="str">
        <f>VLOOKUP(K26,Auswertung!$D$15:$F$1467,3,0)</f>
        <v>Leverkusen</v>
      </c>
      <c r="M26" s="122">
        <f>VLOOKUP(K26,Auswertung!$D$15:$W$1467,20,0)</f>
        <v>60</v>
      </c>
    </row>
    <row r="27" spans="1:13" ht="11.25" customHeight="1" x14ac:dyDescent="0.2">
      <c r="A27" s="43"/>
      <c r="B27" s="39">
        <v>6</v>
      </c>
      <c r="C27" s="120" t="str">
        <f>VLOOKUP(B27,Spieltag!$N$2:$AB$1576,15,0)</f>
        <v>Christoph Baumgartner (A)</v>
      </c>
      <c r="D27" s="121" t="str">
        <f>VLOOKUP(C27,Auswertung!$D$15:$F$1467,3,0)</f>
        <v>Leipzig</v>
      </c>
      <c r="E27" s="122">
        <f>VLOOKUP(C27,Auswertung!$D$15:$W$1467,20,0)</f>
        <v>0</v>
      </c>
      <c r="F27" s="38">
        <v>6</v>
      </c>
      <c r="G27" s="120" t="str">
        <f>VLOOKUP(F27,Spieltag!$O$2:$AB$1576,14,0)</f>
        <v>Emre Can</v>
      </c>
      <c r="H27" s="121" t="str">
        <f>VLOOKUP(G27,Auswertung!$D$15:$F$1467,3,0)</f>
        <v>Dortmund</v>
      </c>
      <c r="I27" s="122">
        <f>VLOOKUP(G27,Auswertung!$D$15:$W$1467,20,0)</f>
        <v>25</v>
      </c>
      <c r="J27" s="39">
        <v>6</v>
      </c>
      <c r="K27" s="120" t="str">
        <f>VLOOKUP(J27,Spieltag!$P$2:$AB$1576,13,0)</f>
        <v>Jonas Hofmann</v>
      </c>
      <c r="L27" s="121" t="str">
        <f>VLOOKUP(K27,Auswertung!$D$15:$F$1467,3,0)</f>
        <v>Leverkusen</v>
      </c>
      <c r="M27" s="122">
        <f>VLOOKUP(K27,Auswertung!$D$15:$W$1467,20,0)</f>
        <v>60</v>
      </c>
    </row>
    <row r="28" spans="1:13" ht="11.25" customHeight="1" x14ac:dyDescent="0.2">
      <c r="A28" s="44"/>
      <c r="B28" s="42">
        <v>7</v>
      </c>
      <c r="C28" s="120" t="str">
        <f>VLOOKUP(B28,Spieltag!$N$2:$AB$1576,15,0)</f>
        <v>Florian Wirtz</v>
      </c>
      <c r="D28" s="121" t="str">
        <f>VLOOKUP(C28,Auswertung!$D$15:$F$1467,3,0)</f>
        <v>Leverkusen</v>
      </c>
      <c r="E28" s="122">
        <f>VLOOKUP(C28,Auswertung!$D$15:$W$1467,20,0)</f>
        <v>60</v>
      </c>
      <c r="F28" s="27">
        <v>7</v>
      </c>
      <c r="G28" s="120" t="str">
        <f>VLOOKUP(F28,Spieltag!$O$2:$AB$1576,14,0)</f>
        <v>Mario Götze</v>
      </c>
      <c r="H28" s="121" t="str">
        <f>VLOOKUP(G28,Auswertung!$D$15:$F$1467,3,0)</f>
        <v>Frankfurt</v>
      </c>
      <c r="I28" s="122">
        <f>VLOOKUP(G28,Auswertung!$D$15:$W$1467,20,0)</f>
        <v>-15</v>
      </c>
      <c r="J28" s="42">
        <v>7</v>
      </c>
      <c r="K28" s="120" t="str">
        <f>VLOOKUP(J28,Spieltag!$P$2:$AB$1576,13,0)</f>
        <v>Janik Haberer</v>
      </c>
      <c r="L28" s="121" t="str">
        <f>VLOOKUP(K28,Auswertung!$D$15:$F$1467,3,0)</f>
        <v>Union Berlin</v>
      </c>
      <c r="M28" s="122">
        <f>VLOOKUP(K28,Auswertung!$D$15:$W$1467,20,0)</f>
        <v>-15</v>
      </c>
    </row>
    <row r="29" spans="1:13" ht="11.25" customHeight="1" x14ac:dyDescent="0.2">
      <c r="A29" s="44"/>
      <c r="B29" s="42">
        <v>8</v>
      </c>
      <c r="C29" s="120" t="str">
        <f>VLOOKUP(B29,Spieltag!$N$2:$AB$1576,15,0)</f>
        <v>Vincenzo Grifo</v>
      </c>
      <c r="D29" s="121" t="str">
        <f>VLOOKUP(C29,Auswertung!$D$15:$F$1467,3,0)</f>
        <v>Freiburg</v>
      </c>
      <c r="E29" s="122">
        <f>VLOOKUP(C29,Auswertung!$D$15:$W$1467,20,0)</f>
        <v>-10</v>
      </c>
      <c r="F29" s="27">
        <v>8</v>
      </c>
      <c r="G29" s="120" t="str">
        <f>VLOOKUP(F29,Spieltag!$O$2:$AB$1576,14,0)</f>
        <v>Dani Olmo (A)</v>
      </c>
      <c r="H29" s="121" t="str">
        <f>VLOOKUP(G29,Auswertung!$D$15:$F$1467,3,0)</f>
        <v>Leipzig</v>
      </c>
      <c r="I29" s="122">
        <f>VLOOKUP(G29,Auswertung!$D$15:$W$1467,20,0)</f>
        <v>60</v>
      </c>
      <c r="J29" s="42">
        <v>8</v>
      </c>
      <c r="K29" s="120" t="str">
        <f>VLOOKUP(J29,Spieltag!$P$2:$AB$1576,13,0)</f>
        <v>Leon Goretzka</v>
      </c>
      <c r="L29" s="121" t="str">
        <f>VLOOKUP(K29,Auswertung!$D$15:$F$1467,3,0)</f>
        <v>München</v>
      </c>
      <c r="M29" s="122">
        <f>VLOOKUP(K29,Auswertung!$D$15:$W$1467,20,0)</f>
        <v>50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VLOOKUP(B30,Spieltag!$N$2:$AB$1576,15,0)</f>
        <v>Harry Kane (A)</v>
      </c>
      <c r="D30" s="124" t="str">
        <f>VLOOKUP(C30,Auswertung!$D$15:$F$1467,3,0)</f>
        <v>München</v>
      </c>
      <c r="E30" s="125">
        <f>VLOOKUP(C30,Auswertung!$D$15:$W$1467,20,0)</f>
        <v>60</v>
      </c>
      <c r="F30" s="38">
        <v>9</v>
      </c>
      <c r="G30" s="123" t="str">
        <f>VLOOKUP(F30,Spieltag!$O$2:$AB$1576,14,0)</f>
        <v>Jonas Wind (A)</v>
      </c>
      <c r="H30" s="124" t="str">
        <f>VLOOKUP(G30,Auswertung!$D$15:$F$1467,3,0)</f>
        <v>Wolfsburg</v>
      </c>
      <c r="I30" s="125">
        <f>VLOOKUP(G30,Auswertung!$D$15:$W$1467,20,0)</f>
        <v>20</v>
      </c>
      <c r="J30" s="39">
        <v>9</v>
      </c>
      <c r="K30" s="123" t="str">
        <f>VLOOKUP(J30,Spieltag!$P$2:$AB$1576,13,0)</f>
        <v>Saša Kalajdžić (A)</v>
      </c>
      <c r="L30" s="124" t="str">
        <f>VLOOKUP(K30,Auswertung!$D$15:$F$1467,3,0)</f>
        <v>Frankfurt</v>
      </c>
      <c r="M30" s="125">
        <f>VLOOKUP(K30,Auswertung!$D$15:$W$1467,20,0)</f>
        <v>-15</v>
      </c>
    </row>
    <row r="31" spans="1:13" ht="11.25" customHeight="1" x14ac:dyDescent="0.2">
      <c r="A31" s="46"/>
      <c r="B31" s="42">
        <v>10</v>
      </c>
      <c r="C31" s="123" t="str">
        <f>VLOOKUP(B31,Spieltag!$N$2:$AB$1576,15,0)</f>
        <v>Patrick Schick (A)</v>
      </c>
      <c r="D31" s="124" t="str">
        <f>VLOOKUP(C31,Auswertung!$D$15:$F$1467,3,0)</f>
        <v>Leverkusen</v>
      </c>
      <c r="E31" s="125">
        <f>VLOOKUP(C31,Auswertung!$D$15:$W$1467,20,0)</f>
        <v>0</v>
      </c>
      <c r="F31" s="27">
        <v>10</v>
      </c>
      <c r="G31" s="123" t="str">
        <f>VLOOKUP(F31,Spieltag!$O$2:$AB$1576,14,0)</f>
        <v>Harry Kane (A)</v>
      </c>
      <c r="H31" s="124" t="str">
        <f>VLOOKUP(G31,Auswertung!$D$15:$F$1467,3,0)</f>
        <v>München</v>
      </c>
      <c r="I31" s="125">
        <f>VLOOKUP(G31,Auswertung!$D$15:$W$1467,20,0)</f>
        <v>60</v>
      </c>
      <c r="J31" s="42">
        <v>10</v>
      </c>
      <c r="K31" s="123" t="str">
        <f>VLOOKUP(J31,Spieltag!$P$2:$AB$1576,13,0)</f>
        <v>Harry Kane (A)</v>
      </c>
      <c r="L31" s="124" t="str">
        <f>VLOOKUP(K31,Auswertung!$D$15:$F$1467,3,0)</f>
        <v>München</v>
      </c>
      <c r="M31" s="125">
        <f>VLOOKUP(K31,Auswertung!$D$15:$W$1467,20,0)</f>
        <v>60</v>
      </c>
    </row>
    <row r="32" spans="1:13" ht="11.25" customHeight="1" thickBot="1" x14ac:dyDescent="0.25">
      <c r="A32" s="46"/>
      <c r="B32" s="42">
        <v>11</v>
      </c>
      <c r="C32" s="123" t="str">
        <f>VLOOKUP(B32,Spieltag!$N$2:$AB$1576,15,0)</f>
        <v>Saša Kalajdžić (A)</v>
      </c>
      <c r="D32" s="124" t="str">
        <f>VLOOKUP(C32,Auswertung!$D$15:$F$1467,3,0)</f>
        <v>Frankfurt</v>
      </c>
      <c r="E32" s="125">
        <f>VLOOKUP(C32,Auswertung!$D$15:$W$1467,20,0)</f>
        <v>-15</v>
      </c>
      <c r="F32" s="27">
        <v>11</v>
      </c>
      <c r="G32" s="123" t="str">
        <f>VLOOKUP(F32,Spieltag!$O$2:$AB$1576,14,0)</f>
        <v>Patrick Schick (A)</v>
      </c>
      <c r="H32" s="124" t="str">
        <f>VLOOKUP(G32,Auswertung!$D$15:$F$1467,3,0)</f>
        <v>Leverkusen</v>
      </c>
      <c r="I32" s="125">
        <f>VLOOKUP(G32,Auswertung!$D$15:$W$1467,20,0)</f>
        <v>0</v>
      </c>
      <c r="J32" s="42">
        <v>11</v>
      </c>
      <c r="K32" s="123" t="str">
        <f>VLOOKUP(J32,Spieltag!$P$2:$AB$1576,13,0)</f>
        <v>Niclas Füllkrug</v>
      </c>
      <c r="L32" s="124" t="str">
        <f>VLOOKUP(K32,Auswertung!$D$15:$F$1467,3,0)</f>
        <v>Dortmund</v>
      </c>
      <c r="M32" s="125">
        <f>VLOOKUP(K32,Auswertung!$D$15:$W$1467,20,0)</f>
        <v>20</v>
      </c>
    </row>
    <row r="33" spans="1:13" ht="11.25" customHeight="1" thickBot="1" x14ac:dyDescent="0.25">
      <c r="C33" s="48"/>
      <c r="E33" s="47">
        <f>SUM(E22:E32)</f>
        <v>225</v>
      </c>
      <c r="G33" s="48"/>
      <c r="I33" s="52">
        <f>SUM(I22:I32)</f>
        <v>340</v>
      </c>
      <c r="K33" s="48"/>
      <c r="L33" s="28"/>
      <c r="M33" s="52">
        <f>SUM(M22:M32)</f>
        <v>300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32</v>
      </c>
      <c r="E37" s="32" t="s">
        <v>6</v>
      </c>
      <c r="F37" s="29"/>
      <c r="G37" s="30" t="s">
        <v>92</v>
      </c>
      <c r="H37" s="31">
        <f>[2]Markus!$B$3</f>
        <v>35</v>
      </c>
      <c r="I37" s="32" t="s">
        <v>6</v>
      </c>
      <c r="J37" s="29"/>
      <c r="K37" s="30" t="s">
        <v>92</v>
      </c>
      <c r="L37" s="31">
        <f>[2]Rainer!$B$3</f>
        <v>30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VLOOKUP(B39,Spieltag!$Q$2:$AB$1576,12,0)</f>
        <v>Kevin Trapp</v>
      </c>
      <c r="D39" s="115" t="str">
        <f>VLOOKUP(C39,Auswertung!$D$15:$F$1467,3,0)</f>
        <v>Frankfurt</v>
      </c>
      <c r="E39" s="116">
        <f>VLOOKUP(C39,Auswertung!$D$15:$W$1467,20,0)</f>
        <v>-15</v>
      </c>
      <c r="F39" s="39">
        <v>1</v>
      </c>
      <c r="G39" s="114" t="str">
        <f>VLOOKUP(F39,Spieltag!$R$2:$AB$1576,11,0)</f>
        <v>Kevin Trapp</v>
      </c>
      <c r="H39" s="115" t="str">
        <f>VLOOKUP(G39,Auswertung!$D$15:$F$1467,3,0)</f>
        <v>Frankfurt</v>
      </c>
      <c r="I39" s="116">
        <f>VLOOKUP(G39,Auswertung!$D$15:$W$1467,20,0)</f>
        <v>-15</v>
      </c>
      <c r="J39" s="38">
        <v>1</v>
      </c>
      <c r="K39" s="114" t="str">
        <f>VLOOKUP(J39,Spieltag!$S$2:$AB$1576,10,0)</f>
        <v>Manuel Neuer</v>
      </c>
      <c r="L39" s="115" t="str">
        <f>VLOOKUP(K39,Auswertung!$D$15:$F$1467,3,0)</f>
        <v>München</v>
      </c>
      <c r="M39" s="116">
        <f>VLOOKUP(K39,Auswertung!$D$15:$W$1467,20,0)</f>
        <v>50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VLOOKUP(B40,Spieltag!$Q$2:$AB$1576,12,0)</f>
        <v>Robin Koch</v>
      </c>
      <c r="D40" s="118" t="str">
        <f>VLOOKUP(C40,Auswertung!$D$15:$F$1467,3,0)</f>
        <v>Frankfurt</v>
      </c>
      <c r="E40" s="119">
        <f>VLOOKUP(C40,Auswertung!$D$15:$W$1467,20,0)</f>
        <v>-15</v>
      </c>
      <c r="F40" s="39">
        <v>2</v>
      </c>
      <c r="G40" s="117" t="str">
        <f>VLOOKUP(F40,Spieltag!$R$2:$AB$1576,11,0)</f>
        <v>David Raum</v>
      </c>
      <c r="H40" s="118" t="str">
        <f>VLOOKUP(G40,Auswertung!$D$15:$F$1467,3,0)</f>
        <v>Leipzig</v>
      </c>
      <c r="I40" s="119">
        <f>VLOOKUP(G40,Auswertung!$D$15:$W$1467,20,0)</f>
        <v>65</v>
      </c>
      <c r="J40" s="38">
        <v>2</v>
      </c>
      <c r="K40" s="117" t="str">
        <f>VLOOKUP(J40,Spieltag!$S$2:$AB$1576,10,0)</f>
        <v>David Raum</v>
      </c>
      <c r="L40" s="118" t="str">
        <f>VLOOKUP(K40,Auswertung!$D$15:$F$1467,3,0)</f>
        <v>Leipzig</v>
      </c>
      <c r="M40" s="119">
        <f>VLOOKUP(K40,Auswertung!$D$15:$W$1467,20,0)</f>
        <v>65</v>
      </c>
    </row>
    <row r="41" spans="1:13" ht="11.25" customHeight="1" x14ac:dyDescent="0.2">
      <c r="A41" s="41"/>
      <c r="B41" s="42">
        <v>3</v>
      </c>
      <c r="C41" s="117" t="str">
        <f>VLOOKUP(B41,Spieltag!$Q$2:$AB$1576,12,0)</f>
        <v>Niklas Süle</v>
      </c>
      <c r="D41" s="118" t="str">
        <f>VLOOKUP(C41,Auswertung!$D$15:$F$1467,3,0)</f>
        <v>Dortmund</v>
      </c>
      <c r="E41" s="119">
        <f>VLOOKUP(C41,Auswertung!$D$15:$W$1467,20,0)</f>
        <v>30</v>
      </c>
      <c r="F41" s="42">
        <v>3</v>
      </c>
      <c r="G41" s="117" t="str">
        <f>VLOOKUP(F41,Spieltag!$R$2:$AB$1576,11,0)</f>
        <v>Niklas Süle</v>
      </c>
      <c r="H41" s="118" t="str">
        <f>VLOOKUP(G41,Auswertung!$D$15:$F$1467,3,0)</f>
        <v>Dortmund</v>
      </c>
      <c r="I41" s="119">
        <f>VLOOKUP(G41,Auswertung!$D$15:$W$1467,20,0)</f>
        <v>30</v>
      </c>
      <c r="J41" s="27">
        <v>3</v>
      </c>
      <c r="K41" s="117" t="str">
        <f>VLOOKUP(J41,Spieltag!$S$2:$AB$1576,10,0)</f>
        <v>Robin Gosens</v>
      </c>
      <c r="L41" s="118" t="str">
        <f>VLOOKUP(K41,Auswertung!$D$15:$F$1467,3,0)</f>
        <v>Union Berlin</v>
      </c>
      <c r="M41" s="119">
        <f>VLOOKUP(K41,Auswertung!$D$15:$W$1467,20,0)</f>
        <v>-15</v>
      </c>
    </row>
    <row r="42" spans="1:13" ht="11.25" customHeight="1" x14ac:dyDescent="0.2">
      <c r="A42" s="41"/>
      <c r="B42" s="42">
        <v>4</v>
      </c>
      <c r="C42" s="117" t="str">
        <f>VLOOKUP(B42,Spieltag!$Q$2:$AB$1576,12,0)</f>
        <v>Nico Schlotterbeck</v>
      </c>
      <c r="D42" s="118" t="str">
        <f>VLOOKUP(C42,Auswertung!$D$15:$F$1467,3,0)</f>
        <v>Dortmund</v>
      </c>
      <c r="E42" s="119">
        <f>VLOOKUP(C42,Auswertung!$D$15:$W$1467,20,0)</f>
        <v>30</v>
      </c>
      <c r="F42" s="42">
        <v>4</v>
      </c>
      <c r="G42" s="117" t="str">
        <f>VLOOKUP(F42,Spieltag!$R$2:$AB$1576,11,0)</f>
        <v>Mats Hummels</v>
      </c>
      <c r="H42" s="118" t="str">
        <f>VLOOKUP(G42,Auswertung!$D$15:$F$1467,3,0)</f>
        <v>Dortmund</v>
      </c>
      <c r="I42" s="119">
        <f>VLOOKUP(G42,Auswertung!$D$15:$W$1467,20,0)</f>
        <v>0</v>
      </c>
      <c r="J42" s="27">
        <v>4</v>
      </c>
      <c r="K42" s="117" t="str">
        <f>VLOOKUP(J42,Spieltag!$S$2:$AB$1576,10,0)</f>
        <v>Matthias Ginter</v>
      </c>
      <c r="L42" s="118" t="str">
        <f>VLOOKUP(K42,Auswertung!$D$15:$F$1467,3,0)</f>
        <v>Freiburg</v>
      </c>
      <c r="M42" s="119">
        <f>VLOOKUP(K42,Auswertung!$D$15:$W$1467,20,0)</f>
        <v>-20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VLOOKUP(B43,Spieltag!$Q$2:$AB$1576,12,0)</f>
        <v>Florian Wirtz</v>
      </c>
      <c r="D43" s="121" t="str">
        <f>VLOOKUP(C43,Auswertung!$D$15:$F$1467,3,0)</f>
        <v>Leverkusen</v>
      </c>
      <c r="E43" s="122">
        <f>VLOOKUP(C43,Auswertung!$D$15:$W$1467,20,0)</f>
        <v>60</v>
      </c>
      <c r="F43" s="39">
        <v>5</v>
      </c>
      <c r="G43" s="120" t="str">
        <f>VLOOKUP(F43,Spieltag!$R$2:$AB$1576,11,0)</f>
        <v>Jonas Hofmann</v>
      </c>
      <c r="H43" s="121" t="str">
        <f>VLOOKUP(G43,Auswertung!$D$15:$F$1467,3,0)</f>
        <v>Leverkusen</v>
      </c>
      <c r="I43" s="122">
        <f>VLOOKUP(G43,Auswertung!$D$15:$W$1467,20,0)</f>
        <v>60</v>
      </c>
      <c r="J43" s="38">
        <v>5</v>
      </c>
      <c r="K43" s="120" t="str">
        <f>VLOOKUP(J43,Spieltag!$S$2:$AB$1576,10,0)</f>
        <v>Marcel Sabitzer (A)</v>
      </c>
      <c r="L43" s="121" t="str">
        <f>VLOOKUP(K43,Auswertung!$D$15:$F$1467,3,0)</f>
        <v>Dortmund</v>
      </c>
      <c r="M43" s="122">
        <f>VLOOKUP(K43,Auswertung!$D$15:$W$1467,20,0)</f>
        <v>25</v>
      </c>
    </row>
    <row r="44" spans="1:13" ht="11.25" customHeight="1" x14ac:dyDescent="0.2">
      <c r="A44" s="43"/>
      <c r="B44" s="39">
        <v>6</v>
      </c>
      <c r="C44" s="120" t="str">
        <f>VLOOKUP(B44,Spieltag!$Q$2:$AB$1576,12,0)</f>
        <v>Jamal Musiala</v>
      </c>
      <c r="D44" s="121" t="str">
        <f>VLOOKUP(C44,Auswertung!$D$15:$F$1467,3,0)</f>
        <v>München</v>
      </c>
      <c r="E44" s="122">
        <f>VLOOKUP(C44,Auswertung!$D$15:$W$1467,20,0)</f>
        <v>50</v>
      </c>
      <c r="F44" s="39">
        <v>6</v>
      </c>
      <c r="G44" s="120" t="str">
        <f>VLOOKUP(F44,Spieltag!$R$2:$AB$1576,11,0)</f>
        <v>Florian Wirtz</v>
      </c>
      <c r="H44" s="121" t="str">
        <f>VLOOKUP(G44,Auswertung!$D$15:$F$1467,3,0)</f>
        <v>Leverkusen</v>
      </c>
      <c r="I44" s="122">
        <f>VLOOKUP(G44,Auswertung!$D$15:$W$1467,20,0)</f>
        <v>60</v>
      </c>
      <c r="J44" s="38">
        <v>6</v>
      </c>
      <c r="K44" s="120" t="str">
        <f>VLOOKUP(J44,Spieltag!$S$2:$AB$1576,10,0)</f>
        <v>Florian Wirtz</v>
      </c>
      <c r="L44" s="121" t="str">
        <f>VLOOKUP(K44,Auswertung!$D$15:$F$1467,3,0)</f>
        <v>Leverkusen</v>
      </c>
      <c r="M44" s="122">
        <f>VLOOKUP(K44,Auswertung!$D$15:$W$1467,20,0)</f>
        <v>60</v>
      </c>
    </row>
    <row r="45" spans="1:13" ht="11.25" customHeight="1" x14ac:dyDescent="0.2">
      <c r="A45" s="44"/>
      <c r="B45" s="42">
        <v>7</v>
      </c>
      <c r="C45" s="120" t="str">
        <f>VLOOKUP(B45,Spieltag!$Q$2:$AB$1576,12,0)</f>
        <v>Vincenzo Grifo</v>
      </c>
      <c r="D45" s="121" t="str">
        <f>VLOOKUP(C45,Auswertung!$D$15:$F$1467,3,0)</f>
        <v>Freiburg</v>
      </c>
      <c r="E45" s="122">
        <f>VLOOKUP(C45,Auswertung!$D$15:$W$1467,20,0)</f>
        <v>-10</v>
      </c>
      <c r="F45" s="42">
        <v>7</v>
      </c>
      <c r="G45" s="120" t="str">
        <f>VLOOKUP(F45,Spieltag!$R$2:$AB$1576,11,0)</f>
        <v>Maximilian Arnold</v>
      </c>
      <c r="H45" s="121" t="str">
        <f>VLOOKUP(G45,Auswertung!$D$15:$F$1467,3,0)</f>
        <v>Wolfsburg</v>
      </c>
      <c r="I45" s="122">
        <f>VLOOKUP(G45,Auswertung!$D$15:$W$1467,20,0)</f>
        <v>20</v>
      </c>
      <c r="J45" s="27">
        <v>7</v>
      </c>
      <c r="K45" s="120" t="str">
        <f>VLOOKUP(J45,Spieltag!$S$2:$AB$1576,10,0)</f>
        <v>Mario Götze</v>
      </c>
      <c r="L45" s="121" t="str">
        <f>VLOOKUP(K45,Auswertung!$D$15:$F$1467,3,0)</f>
        <v>Frankfurt</v>
      </c>
      <c r="M45" s="122">
        <f>VLOOKUP(K45,Auswertung!$D$15:$W$1467,20,0)</f>
        <v>-15</v>
      </c>
    </row>
    <row r="46" spans="1:13" ht="11.25" customHeight="1" x14ac:dyDescent="0.2">
      <c r="A46" s="44"/>
      <c r="B46" s="42">
        <v>8</v>
      </c>
      <c r="C46" s="120" t="str">
        <f>VLOOKUP(B46,Spieltag!$Q$2:$AB$1576,12,0)</f>
        <v>Václav Černý (A)</v>
      </c>
      <c r="D46" s="121" t="str">
        <f>VLOOKUP(C46,Auswertung!$D$15:$F$1467,3,0)</f>
        <v>Wolfsburg</v>
      </c>
      <c r="E46" s="122">
        <f>VLOOKUP(C46,Auswertung!$D$15:$W$1467,20,0)</f>
        <v>20</v>
      </c>
      <c r="F46" s="42">
        <v>8</v>
      </c>
      <c r="G46" s="120" t="str">
        <f>VLOOKUP(F46,Spieltag!$R$2:$AB$1576,11,0)</f>
        <v>Chris Führich</v>
      </c>
      <c r="H46" s="121" t="str">
        <f>VLOOKUP(G46,Auswertung!$D$15:$F$1467,3,0)</f>
        <v>Stuttgart</v>
      </c>
      <c r="I46" s="122">
        <f>VLOOKUP(G46,Auswertung!$D$15:$W$1467,20,0)</f>
        <v>60</v>
      </c>
      <c r="J46" s="27">
        <v>8</v>
      </c>
      <c r="K46" s="120" t="str">
        <f>VLOOKUP(J46,Spieltag!$S$2:$AB$1576,10,0)</f>
        <v>Jonas Hofmann</v>
      </c>
      <c r="L46" s="121" t="str">
        <f>VLOOKUP(K46,Auswertung!$D$15:$F$1467,3,0)</f>
        <v>Leverkusen</v>
      </c>
      <c r="M46" s="122">
        <f>VLOOKUP(K46,Auswertung!$D$15:$W$1467,20,0)</f>
        <v>60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VLOOKUP(B47,Spieltag!$Q$2:$AB$1576,12,0)</f>
        <v>Jonas Wind (A)</v>
      </c>
      <c r="D47" s="124" t="str">
        <f>VLOOKUP(C47,Auswertung!$D$15:$F$1467,3,0)</f>
        <v>Wolfsburg</v>
      </c>
      <c r="E47" s="125">
        <f>VLOOKUP(C47,Auswertung!$D$15:$W$1467,20,0)</f>
        <v>20</v>
      </c>
      <c r="F47" s="39">
        <v>9</v>
      </c>
      <c r="G47" s="123" t="str">
        <f>VLOOKUP(F47,Spieltag!$R$2:$AB$1576,11,0)</f>
        <v>Deniz Undav</v>
      </c>
      <c r="H47" s="124" t="str">
        <f>VLOOKUP(G47,Auswertung!$D$15:$F$1467,3,0)</f>
        <v>Stuttgart</v>
      </c>
      <c r="I47" s="125">
        <f>VLOOKUP(G47,Auswertung!$D$15:$W$1467,20,0)</f>
        <v>60</v>
      </c>
      <c r="J47" s="38">
        <v>9</v>
      </c>
      <c r="K47" s="123" t="str">
        <f>VLOOKUP(J47,Spieltag!$S$2:$AB$1576,10,0)</f>
        <v>Harry Kane (A)</v>
      </c>
      <c r="L47" s="124" t="str">
        <f>VLOOKUP(K47,Auswertung!$D$15:$F$1467,3,0)</f>
        <v>München</v>
      </c>
      <c r="M47" s="125">
        <f>VLOOKUP(K47,Auswertung!$D$15:$W$1467,20,0)</f>
        <v>60</v>
      </c>
    </row>
    <row r="48" spans="1:13" ht="11.25" customHeight="1" x14ac:dyDescent="0.2">
      <c r="A48" s="46"/>
      <c r="B48" s="42">
        <v>10</v>
      </c>
      <c r="C48" s="123" t="str">
        <f>VLOOKUP(B48,Spieltag!$Q$2:$AB$1576,12,0)</f>
        <v>Harry Kane (A)</v>
      </c>
      <c r="D48" s="124" t="str">
        <f>VLOOKUP(C48,Auswertung!$D$15:$F$1467,3,0)</f>
        <v>München</v>
      </c>
      <c r="E48" s="125">
        <f>VLOOKUP(C48,Auswertung!$D$15:$W$1467,20,0)</f>
        <v>60</v>
      </c>
      <c r="F48" s="42">
        <v>10</v>
      </c>
      <c r="G48" s="123" t="str">
        <f>VLOOKUP(F48,Spieltag!$R$2:$AB$1576,11,0)</f>
        <v>Harry Kane (A)</v>
      </c>
      <c r="H48" s="124" t="str">
        <f>VLOOKUP(G48,Auswertung!$D$15:$F$1467,3,0)</f>
        <v>München</v>
      </c>
      <c r="I48" s="125">
        <f>VLOOKUP(G48,Auswertung!$D$15:$W$1467,20,0)</f>
        <v>60</v>
      </c>
      <c r="J48" s="27">
        <v>10</v>
      </c>
      <c r="K48" s="123" t="str">
        <f>VLOOKUP(J48,Spieltag!$S$2:$AB$1576,10,0)</f>
        <v>Niclas Füllkrug</v>
      </c>
      <c r="L48" s="124" t="str">
        <f>VLOOKUP(K48,Auswertung!$D$15:$F$1467,3,0)</f>
        <v>Dortmund</v>
      </c>
      <c r="M48" s="125">
        <f>VLOOKUP(K48,Auswertung!$D$15:$W$1467,20,0)</f>
        <v>20</v>
      </c>
    </row>
    <row r="49" spans="1:13" ht="11.25" customHeight="1" thickBot="1" x14ac:dyDescent="0.25">
      <c r="A49" s="46"/>
      <c r="B49" s="42">
        <v>11</v>
      </c>
      <c r="C49" s="123" t="str">
        <f>VLOOKUP(B49,Spieltag!$Q$2:$AB$1576,12,0)</f>
        <v>Patrick Schick (A)</v>
      </c>
      <c r="D49" s="124" t="str">
        <f>VLOOKUP(C49,Auswertung!$D$15:$F$1467,3,0)</f>
        <v>Leverkusen</v>
      </c>
      <c r="E49" s="125">
        <f>VLOOKUP(C49,Auswertung!$D$15:$W$1467,20,0)</f>
        <v>0</v>
      </c>
      <c r="F49" s="42">
        <v>11</v>
      </c>
      <c r="G49" s="123" t="str">
        <f>VLOOKUP(F49,Spieltag!$R$2:$AB$1576,11,0)</f>
        <v>Leroy Sané</v>
      </c>
      <c r="H49" s="124" t="str">
        <f>VLOOKUP(G49,Auswertung!$D$15:$F$1467,3,0)</f>
        <v>München</v>
      </c>
      <c r="I49" s="125">
        <f>VLOOKUP(G49,Auswertung!$D$15:$W$1467,20,0)</f>
        <v>50</v>
      </c>
      <c r="J49" s="27">
        <v>11</v>
      </c>
      <c r="K49" s="123" t="str">
        <f>VLOOKUP(J49,Spieltag!$S$2:$AB$1576,10,0)</f>
        <v>Saša Kalajdžić (A)</v>
      </c>
      <c r="L49" s="124" t="str">
        <f>VLOOKUP(K49,Auswertung!$D$15:$F$1467,3,0)</f>
        <v>Frankfurt</v>
      </c>
      <c r="M49" s="125">
        <f>VLOOKUP(K49,Auswertung!$D$15:$W$1467,20,0)</f>
        <v>-15</v>
      </c>
    </row>
    <row r="50" spans="1:13" ht="11.25" customHeight="1" thickBot="1" x14ac:dyDescent="0.25">
      <c r="C50" s="48"/>
      <c r="D50" s="28"/>
      <c r="E50" s="52">
        <f>SUM(E39:E49)</f>
        <v>230</v>
      </c>
      <c r="G50" s="48"/>
      <c r="I50" s="52">
        <f>SUM(I39:I49)</f>
        <v>450</v>
      </c>
      <c r="K50" s="208"/>
      <c r="L50" s="208"/>
      <c r="M50" s="52">
        <f>SUM(M39:M49)</f>
        <v>275</v>
      </c>
    </row>
    <row r="51" spans="1:13" ht="11.25" customHeight="1" x14ac:dyDescent="0.2">
      <c r="G51" s="208"/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I5" sqref="I5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Heidenheim</v>
      </c>
      <c r="C5" s="81" t="str">
        <f>Auswertung!$E$1</f>
        <v>Dortmund</v>
      </c>
      <c r="E5" s="82">
        <f>IF(('[1]20. Spieltag'!D5=""),"",('[1]20. Spieltag'!D5))</f>
        <v>1</v>
      </c>
      <c r="F5" s="83">
        <f>IF(('[1]20. Spieltag'!E5=""),"",('[1]20. Spieltag'!E5))</f>
        <v>3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0</v>
      </c>
      <c r="I5" s="82">
        <f>IF(('[1]20. Spieltag'!H5=""),"",('[1]20. Spieltag'!H5))</f>
        <v>1</v>
      </c>
      <c r="J5" s="83">
        <f>IF(('[1]20. Spieltag'!I5=""),"",('[1]20. Spieltag'!I5))</f>
        <v>3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0</v>
      </c>
      <c r="M5" s="82">
        <f>IF(('[1]20. Spieltag'!L5=""),"",('[1]20. Spieltag'!L5))</f>
        <v>1</v>
      </c>
      <c r="N5" s="83">
        <f>IF(('[1]20. Spieltag'!M5=""),"",('[1]20. Spieltag'!M5))</f>
        <v>3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0</v>
      </c>
      <c r="Q5" s="82">
        <f>IF(('[1]20. Spieltag'!P5=""),"",('[1]20. Spieltag'!P5))</f>
        <v>1</v>
      </c>
      <c r="R5" s="83">
        <f>IF(('[1]20. Spieltag'!Q5=""),"",('[1]20. Spieltag'!Q5))</f>
        <v>3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0</v>
      </c>
      <c r="U5" s="82">
        <f>IF(('[1]20. Spieltag'!T5=""),"",('[1]20. Spieltag'!T5))</f>
        <v>1</v>
      </c>
      <c r="V5" s="83">
        <f>IF(('[1]20. Spieltag'!U5=""),"",('[1]20. Spieltag'!U5))</f>
        <v>3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0</v>
      </c>
    </row>
    <row r="6" spans="1:30" ht="11.25" customHeight="1" x14ac:dyDescent="0.2">
      <c r="A6" s="85"/>
      <c r="B6" s="86" t="str">
        <f>Auswertung!$D$2</f>
        <v>Leipzig</v>
      </c>
      <c r="C6" s="87" t="str">
        <f>Auswertung!$E$2</f>
        <v>Union Berlin</v>
      </c>
      <c r="E6" s="82">
        <f>IF(('[1]20. Spieltag'!D6=""),"",('[1]20. Spieltag'!D6))</f>
        <v>2</v>
      </c>
      <c r="F6" s="83">
        <f>IF(('[1]20. Spieltag'!E6=""),"",('[1]20. Spieltag'!E6))</f>
        <v>1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20</v>
      </c>
      <c r="I6" s="82">
        <f>IF(('[1]20. Spieltag'!H6=""),"",('[1]20. Spieltag'!H6))</f>
        <v>2</v>
      </c>
      <c r="J6" s="83">
        <f>IF(('[1]20. Spieltag'!I6=""),"",('[1]20. Spieltag'!I6))</f>
        <v>1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20</v>
      </c>
      <c r="M6" s="82">
        <f>IF(('[1]20. Spieltag'!L6=""),"",('[1]20. Spieltag'!L6))</f>
        <v>2</v>
      </c>
      <c r="N6" s="83">
        <f>IF(('[1]20. Spieltag'!M6=""),"",('[1]20. Spieltag'!M6))</f>
        <v>1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20</v>
      </c>
      <c r="Q6" s="82">
        <f>IF(('[1]20. Spieltag'!P6=""),"",('[1]20. Spieltag'!P6))</f>
        <v>2</v>
      </c>
      <c r="R6" s="83">
        <f>IF(('[1]20. Spieltag'!Q6=""),"",('[1]20.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20</v>
      </c>
      <c r="U6" s="82">
        <f>IF(('[1]20. Spieltag'!T6=""),"",('[1]20. Spieltag'!T6))</f>
        <v>2</v>
      </c>
      <c r="V6" s="83">
        <f>IF(('[1]20. Spieltag'!U6=""),"",('[1]20. Spieltag'!U6))</f>
        <v>0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60</v>
      </c>
    </row>
    <row r="7" spans="1:30" ht="11.25" customHeight="1" x14ac:dyDescent="0.2">
      <c r="A7" s="85"/>
      <c r="B7" s="86" t="str">
        <f>Auswertung!$D$3</f>
        <v>Darmstadt</v>
      </c>
      <c r="C7" s="87" t="str">
        <f>Auswertung!$E$3</f>
        <v>Leverkusen</v>
      </c>
      <c r="E7" s="82">
        <f>IF(('[1]20. Spieltag'!D7=""),"",('[1]20. Spieltag'!D7))</f>
        <v>0</v>
      </c>
      <c r="F7" s="83">
        <f>IF(('[1]20. Spieltag'!E7=""),"",('[1]20. Spieltag'!E7))</f>
        <v>3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20</v>
      </c>
      <c r="I7" s="82">
        <f>IF(('[1]20. Spieltag'!H7=""),"",('[1]20. Spieltag'!H7))</f>
        <v>0</v>
      </c>
      <c r="J7" s="83">
        <f>IF(('[1]20. Spieltag'!I7=""),"",('[1]20. Spieltag'!I7))</f>
        <v>3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20</v>
      </c>
      <c r="M7" s="82">
        <f>IF(('[1]20. Spieltag'!L7=""),"",('[1]20. Spieltag'!L7))</f>
        <v>1</v>
      </c>
      <c r="N7" s="83">
        <f>IF(('[1]20. Spieltag'!M7=""),"",('[1]20. Spieltag'!M7))</f>
        <v>3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40</v>
      </c>
      <c r="Q7" s="82">
        <f>IF(('[1]20. Spieltag'!P7=""),"",('[1]20. Spieltag'!P7))</f>
        <v>0</v>
      </c>
      <c r="R7" s="83">
        <f>IF(('[1]20. Spieltag'!Q7=""),"",('[1]20. Spieltag'!Q7))</f>
        <v>3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20</v>
      </c>
      <c r="U7" s="82">
        <f>IF(('[1]20. Spieltag'!T7=""),"",('[1]20. Spieltag'!T7))</f>
        <v>1</v>
      </c>
      <c r="V7" s="83">
        <f>IF(('[1]20. Spieltag'!U7=""),"",('[1]20. Spieltag'!U7))</f>
        <v>3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40</v>
      </c>
    </row>
    <row r="8" spans="1:30" ht="11.25" customHeight="1" x14ac:dyDescent="0.2">
      <c r="A8" s="85"/>
      <c r="B8" s="86" t="str">
        <f>Auswertung!$D$4</f>
        <v>Köln</v>
      </c>
      <c r="C8" s="87" t="str">
        <f>Auswertung!$E$4</f>
        <v>Frankfurt</v>
      </c>
      <c r="E8" s="82">
        <f>IF(('[1]20. Spieltag'!D8=""),"",('[1]20. Spieltag'!D8))</f>
        <v>2</v>
      </c>
      <c r="F8" s="83">
        <f>IF(('[1]20. Spieltag'!E8=""),"",('[1]20. Spieltag'!E8))</f>
        <v>1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20</v>
      </c>
      <c r="I8" s="82">
        <f>IF(('[1]20. Spieltag'!H8=""),"",('[1]20. Spieltag'!H8))</f>
        <v>2</v>
      </c>
      <c r="J8" s="83">
        <f>IF(('[1]20. Spieltag'!I8=""),"",('[1]20. Spieltag'!I8))</f>
        <v>1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20</v>
      </c>
      <c r="M8" s="82">
        <f>IF(('[1]20. Spieltag'!L8=""),"",('[1]20. Spieltag'!L8))</f>
        <v>1</v>
      </c>
      <c r="N8" s="83">
        <f>IF(('[1]20. Spieltag'!M8=""),"",('[1]20. Spieltag'!M8))</f>
        <v>2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0</v>
      </c>
      <c r="Q8" s="82">
        <f>IF(('[1]20. Spieltag'!P8=""),"",('[1]20. Spieltag'!P8))</f>
        <v>2</v>
      </c>
      <c r="R8" s="83">
        <f>IF(('[1]20. Spieltag'!Q8=""),"",('[1]20. Spieltag'!Q8))</f>
        <v>1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20</v>
      </c>
      <c r="U8" s="82">
        <f>IF(('[1]20. Spieltag'!T8=""),"",('[1]20. Spieltag'!T8))</f>
        <v>1</v>
      </c>
      <c r="V8" s="83">
        <f>IF(('[1]20. Spieltag'!U8=""),"",('[1]20. Spieltag'!U8))</f>
        <v>2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0</v>
      </c>
    </row>
    <row r="9" spans="1:30" ht="11.25" customHeight="1" x14ac:dyDescent="0.2">
      <c r="A9" s="85"/>
      <c r="B9" s="86" t="str">
        <f>Auswertung!$D$5</f>
        <v>München</v>
      </c>
      <c r="C9" s="87" t="str">
        <f>Auswertung!$E$5</f>
        <v>M'gladbach</v>
      </c>
      <c r="E9" s="82">
        <f>IF(('[1]20. Spieltag'!D9=""),"",('[1]20. Spieltag'!D9))</f>
        <v>3</v>
      </c>
      <c r="F9" s="83">
        <f>IF(('[1]20. Spieltag'!E9=""),"",('[1]20. Spieltag'!E9))</f>
        <v>1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60</v>
      </c>
      <c r="I9" s="82">
        <f>IF(('[1]20. Spieltag'!H9=""),"",('[1]20. Spieltag'!H9))</f>
        <v>3</v>
      </c>
      <c r="J9" s="83">
        <f>IF(('[1]20. Spieltag'!I9=""),"",('[1]20. Spieltag'!I9))</f>
        <v>1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60</v>
      </c>
      <c r="M9" s="82">
        <f>IF(('[1]20. Spieltag'!L9=""),"",('[1]20. Spieltag'!L9))</f>
        <v>3</v>
      </c>
      <c r="N9" s="83">
        <f>IF(('[1]20. Spieltag'!M9=""),"",('[1]20.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60</v>
      </c>
      <c r="Q9" s="82">
        <f>IF(('[1]20. Spieltag'!P9=""),"",('[1]20. Spieltag'!P9))</f>
        <v>3</v>
      </c>
      <c r="R9" s="83">
        <f>IF(('[1]20. Spieltag'!Q9=""),"",('[1]20. Spieltag'!Q9))</f>
        <v>1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60</v>
      </c>
      <c r="U9" s="82">
        <f>IF(('[1]20. Spieltag'!T9=""),"",('[1]20. Spieltag'!T9))</f>
        <v>3</v>
      </c>
      <c r="V9" s="83">
        <f>IF(('[1]20. Spieltag'!U9=""),"",('[1]20. Spieltag'!U9))</f>
        <v>1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60</v>
      </c>
    </row>
    <row r="10" spans="1:30" ht="11.25" customHeight="1" x14ac:dyDescent="0.2">
      <c r="A10" s="85"/>
      <c r="B10" s="86" t="str">
        <f>Auswertung!$D$6</f>
        <v>Wolfsburg</v>
      </c>
      <c r="C10" s="87" t="str">
        <f>Auswertung!$E$6</f>
        <v>Hoffenheim</v>
      </c>
      <c r="E10" s="82">
        <f>IF(('[1]20. Spieltag'!D10=""),"",('[1]20. Spieltag'!D10))</f>
        <v>1</v>
      </c>
      <c r="F10" s="83">
        <f>IF(('[1]20. Spieltag'!E10=""),"",('[1]20. Spieltag'!E10))</f>
        <v>2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IF(('[1]20. Spieltag'!H10=""),"",('[1]20. Spieltag'!H10))</f>
        <v>1</v>
      </c>
      <c r="J10" s="83">
        <f>IF(('[1]20. Spieltag'!I10=""),"",('[1]20. Spieltag'!I10))</f>
        <v>2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0</v>
      </c>
      <c r="M10" s="82">
        <f>IF(('[1]20. Spieltag'!L10=""),"",('[1]20. Spieltag'!L10))</f>
        <v>2</v>
      </c>
      <c r="N10" s="83">
        <f>IF(('[1]20. Spieltag'!M10=""),"",('[1]20.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0</v>
      </c>
      <c r="Q10" s="82">
        <f>IF(('[1]20. Spieltag'!P10=""),"",('[1]20. Spieltag'!P10))</f>
        <v>1</v>
      </c>
      <c r="R10" s="83">
        <f>IF(('[1]20. Spieltag'!Q10=""),"",('[1]20. Spieltag'!Q10))</f>
        <v>2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IF(('[1]20. Spieltag'!T10=""),"",('[1]20. Spieltag'!T10))</f>
        <v>2</v>
      </c>
      <c r="V10" s="83">
        <f>IF(('[1]20. Spieltag'!U10=""),"",('[1]20. Spieltag'!U10))</f>
        <v>1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0</v>
      </c>
    </row>
    <row r="11" spans="1:30" ht="11.25" customHeight="1" x14ac:dyDescent="0.2">
      <c r="A11" s="85"/>
      <c r="B11" s="86" t="str">
        <f>Auswertung!$D$7</f>
        <v>Mainz</v>
      </c>
      <c r="C11" s="87" t="str">
        <f>Auswertung!$E$7</f>
        <v>Bremen</v>
      </c>
      <c r="E11" s="82">
        <f>IF(('[1]20. Spieltag'!D11=""),"",('[1]20. Spieltag'!D11))</f>
        <v>1</v>
      </c>
      <c r="F11" s="83">
        <f>IF(('[1]20. Spieltag'!E11=""),"",('[1]20. Spieltag'!E11))</f>
        <v>1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IF(('[1]20. Spieltag'!H11=""),"",('[1]20. Spieltag'!H11))</f>
        <v>1</v>
      </c>
      <c r="J11" s="83">
        <f>IF(('[1]20. Spieltag'!I11=""),"",('[1]20. Spieltag'!I11))</f>
        <v>1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0</v>
      </c>
      <c r="M11" s="82">
        <f>IF(('[1]20. Spieltag'!L11=""),"",('[1]20. Spieltag'!L11))</f>
        <v>1</v>
      </c>
      <c r="N11" s="83">
        <f>IF(('[1]20. Spieltag'!M11=""),"",('[1]20.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0</v>
      </c>
      <c r="Q11" s="82">
        <f>IF(('[1]20. Spieltag'!P11=""),"",('[1]20. Spieltag'!P11))</f>
        <v>1</v>
      </c>
      <c r="R11" s="83">
        <f>IF(('[1]20. Spieltag'!Q11=""),"",('[1]20.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0</v>
      </c>
      <c r="U11" s="82">
        <f>IF(('[1]20. Spieltag'!T11=""),"",('[1]20. Spieltag'!T11))</f>
        <v>2</v>
      </c>
      <c r="V11" s="83">
        <f>IF(('[1]20. Spieltag'!U11=""),"",('[1]20.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0</v>
      </c>
    </row>
    <row r="12" spans="1:30" ht="11.25" customHeight="1" x14ac:dyDescent="0.2">
      <c r="A12" s="85"/>
      <c r="B12" s="86" t="str">
        <f>Auswertung!$D$8</f>
        <v>Bochum</v>
      </c>
      <c r="C12" s="87" t="str">
        <f>Auswertung!$E$8</f>
        <v>Augsburg</v>
      </c>
      <c r="E12" s="82">
        <f>IF(('[1]20. Spieltag'!D12=""),"",('[1]20. Spieltag'!D12))</f>
        <v>1</v>
      </c>
      <c r="F12" s="83">
        <f>IF(('[1]20. Spieltag'!E12=""),"",('[1]20. Spieltag'!E12))</f>
        <v>1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60</v>
      </c>
      <c r="I12" s="82">
        <f>IF(('[1]20. Spieltag'!H12=""),"",('[1]20. Spieltag'!H12))</f>
        <v>1</v>
      </c>
      <c r="J12" s="83">
        <f>IF(('[1]20. Spieltag'!I12=""),"",('[1]20. Spieltag'!I12))</f>
        <v>1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60</v>
      </c>
      <c r="M12" s="82">
        <f>IF(('[1]20. Spieltag'!L12=""),"",('[1]20. Spieltag'!L12))</f>
        <v>2</v>
      </c>
      <c r="N12" s="83">
        <f>IF(('[1]20. Spieltag'!M12=""),"",('[1]20.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IF(('[1]20. Spieltag'!P12=""),"",('[1]20. Spieltag'!P12))</f>
        <v>1</v>
      </c>
      <c r="R12" s="83">
        <f>IF(('[1]20. Spieltag'!Q12=""),"",('[1]20. Spieltag'!Q12))</f>
        <v>1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60</v>
      </c>
      <c r="U12" s="82">
        <f>IF(('[1]20. Spieltag'!T12=""),"",('[1]20. Spieltag'!T12))</f>
        <v>2</v>
      </c>
      <c r="V12" s="83">
        <f>IF(('[1]20. Spieltag'!U12=""),"",('[1]20. Spieltag'!U12))</f>
        <v>1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Freiburg</v>
      </c>
      <c r="C13" s="91" t="str">
        <f>Auswertung!$E$9</f>
        <v>Stuttgart</v>
      </c>
      <c r="E13" s="82">
        <f>IF(('[1]20. Spieltag'!D13=""),"",('[1]20. Spieltag'!D13))</f>
        <v>2</v>
      </c>
      <c r="F13" s="83">
        <f>IF(('[1]20. Spieltag'!E13=""),"",('[1]20. Spieltag'!E13))</f>
        <v>1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0</v>
      </c>
      <c r="I13" s="82">
        <f>IF(('[1]20. Spieltag'!H13=""),"",('[1]20. Spieltag'!H13))</f>
        <v>2</v>
      </c>
      <c r="J13" s="83">
        <f>IF(('[1]20. Spieltag'!I13=""),"",('[1]20. Spieltag'!I13))</f>
        <v>1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0</v>
      </c>
      <c r="M13" s="82">
        <f>IF(('[1]20. Spieltag'!L13=""),"",('[1]20. Spieltag'!L13))</f>
        <v>2</v>
      </c>
      <c r="N13" s="83">
        <f>IF(('[1]20. Spieltag'!M13=""),"",('[1]20. Spieltag'!M13))</f>
        <v>1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0</v>
      </c>
      <c r="Q13" s="82">
        <f>IF(('[1]20. Spieltag'!P13=""),"",('[1]20. Spieltag'!P13))</f>
        <v>2</v>
      </c>
      <c r="R13" s="83">
        <f>IF(('[1]20. Spieltag'!Q13=""),"",('[1]20. Spieltag'!Q13))</f>
        <v>1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0</v>
      </c>
      <c r="U13" s="82">
        <f>IF(('[1]20. Spieltag'!T13=""),"",('[1]20. Spieltag'!T13))</f>
        <v>2</v>
      </c>
      <c r="V13" s="83">
        <f>IF(('[1]20. Spieltag'!U13=""),"",('[1]20. Spieltag'!U13))</f>
        <v>1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0</v>
      </c>
    </row>
    <row r="14" spans="1:30" ht="11.25" customHeight="1" thickBot="1" x14ac:dyDescent="0.25">
      <c r="G14" s="47">
        <f>SUM(G5:G13)</f>
        <v>180</v>
      </c>
      <c r="K14" s="47">
        <f>SUM(K5:K13)</f>
        <v>180</v>
      </c>
      <c r="O14" s="47">
        <f>SUM(O5:O13)</f>
        <v>120</v>
      </c>
      <c r="S14" s="47">
        <f>SUM(S5:S13)</f>
        <v>180</v>
      </c>
      <c r="W14" s="47">
        <f>SUM(W5:W13)</f>
        <v>160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Heidenheim</v>
      </c>
      <c r="C20" s="81" t="str">
        <f>Auswertung!$E$1</f>
        <v>Dortmund</v>
      </c>
      <c r="E20" s="82">
        <f>IF(('[1]20. Spieltag'!D20=""),"",('[1]20. Spieltag'!D20))</f>
        <v>1</v>
      </c>
      <c r="F20" s="83">
        <f>IF(('[1]20. Spieltag'!E20=""),"",('[1]20. Spieltag'!E20))</f>
        <v>3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0</v>
      </c>
      <c r="I20" s="82">
        <f>IF(('[1]20. Spieltag'!H20=""),"",('[1]20. Spieltag'!H20))</f>
        <v>1</v>
      </c>
      <c r="J20" s="83">
        <f>IF(('[1]20. Spieltag'!I20=""),"",('[1]20. Spieltag'!I20))</f>
        <v>3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0</v>
      </c>
      <c r="M20" s="82">
        <f>IF(('[1]20. Spieltag'!L20=""),"",('[1]20. Spieltag'!L20))</f>
        <v>1</v>
      </c>
      <c r="N20" s="83">
        <f>IF(('[1]20. Spieltag'!M20=""),"",('[1]20. Spieltag'!M20))</f>
        <v>2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0</v>
      </c>
      <c r="Q20" s="82">
        <f>IF(('[1]20. Spieltag'!P20=""),"",('[1]20. Spieltag'!P20))</f>
        <v>1</v>
      </c>
      <c r="R20" s="83">
        <f>IF(('[1]20. Spieltag'!Q20=""),"",('[1]20. Spieltag'!Q20))</f>
        <v>3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Leipzig</v>
      </c>
      <c r="C21" s="87" t="str">
        <f>Auswertung!$E$2</f>
        <v>Union Berlin</v>
      </c>
      <c r="E21" s="82">
        <f>IF(('[1]20. Spieltag'!D21=""),"",('[1]20. Spieltag'!D21))</f>
        <v>2</v>
      </c>
      <c r="F21" s="83">
        <f>IF(('[1]20. Spieltag'!E21=""),"",('[1]20. Spieltag'!E21))</f>
        <v>0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60</v>
      </c>
      <c r="I21" s="82">
        <f>IF(('[1]20. Spieltag'!H21=""),"",('[1]20. Spieltag'!H21))</f>
        <v>2</v>
      </c>
      <c r="J21" s="83">
        <f>IF(('[1]20. Spieltag'!I21=""),"",('[1]20. Spieltag'!I21))</f>
        <v>0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60</v>
      </c>
      <c r="M21" s="82">
        <f>IF(('[1]20. Spieltag'!L21=""),"",('[1]20. Spieltag'!L21))</f>
        <v>2</v>
      </c>
      <c r="N21" s="83">
        <f>IF(('[1]20. Spieltag'!M21=""),"",('[1]20. Spieltag'!M21))</f>
        <v>0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60</v>
      </c>
      <c r="Q21" s="82">
        <f>IF(('[1]20. Spieltag'!P21=""),"",('[1]20. Spieltag'!P21))</f>
        <v>2</v>
      </c>
      <c r="R21" s="83">
        <f>IF(('[1]20. Spieltag'!Q21=""),"",('[1]20. Spieltag'!Q21))</f>
        <v>1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20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Darmstadt</v>
      </c>
      <c r="C22" s="87" t="str">
        <f>Auswertung!$E$3</f>
        <v>Leverkusen</v>
      </c>
      <c r="E22" s="82">
        <f>IF(('[1]20. Spieltag'!D22=""),"",('[1]20. Spieltag'!D22))</f>
        <v>1</v>
      </c>
      <c r="F22" s="83">
        <f>IF(('[1]20. Spieltag'!E22=""),"",('[1]20. Spieltag'!E22))</f>
        <v>3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40</v>
      </c>
      <c r="I22" s="82">
        <f>IF(('[1]20. Spieltag'!H22=""),"",('[1]20. Spieltag'!H22))</f>
        <v>1</v>
      </c>
      <c r="J22" s="83">
        <f>IF(('[1]20. Spieltag'!I22=""),"",('[1]20. Spieltag'!I22))</f>
        <v>3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40</v>
      </c>
      <c r="M22" s="82">
        <f>IF(('[1]20. Spieltag'!L22=""),"",('[1]20. Spieltag'!L22))</f>
        <v>1</v>
      </c>
      <c r="N22" s="83">
        <f>IF(('[1]20. Spieltag'!M22=""),"",('[1]20. Spieltag'!M22))</f>
        <v>3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40</v>
      </c>
      <c r="Q22" s="82">
        <f>IF(('[1]20. Spieltag'!P22=""),"",('[1]20. Spieltag'!P22))</f>
        <v>0</v>
      </c>
      <c r="R22" s="83">
        <f>IF(('[1]20. Spieltag'!Q22=""),"",('[1]20. Spieltag'!Q22))</f>
        <v>3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20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Köln</v>
      </c>
      <c r="C23" s="87" t="str">
        <f>Auswertung!$E$4</f>
        <v>Frankfurt</v>
      </c>
      <c r="E23" s="82">
        <f>IF(('[1]20. Spieltag'!D23=""),"",('[1]20. Spieltag'!D23))</f>
        <v>1</v>
      </c>
      <c r="F23" s="83">
        <f>IF(('[1]20. Spieltag'!E23=""),"",('[1]20. Spieltag'!E23))</f>
        <v>2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0</v>
      </c>
      <c r="I23" s="82">
        <f>IF(('[1]20. Spieltag'!H23=""),"",('[1]20. Spieltag'!H23))</f>
        <v>1</v>
      </c>
      <c r="J23" s="83">
        <f>IF(('[1]20. Spieltag'!I23=""),"",('[1]20. Spieltag'!I23))</f>
        <v>2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0</v>
      </c>
      <c r="M23" s="82">
        <f>IF(('[1]20. Spieltag'!L23=""),"",('[1]20. Spieltag'!L23))</f>
        <v>1</v>
      </c>
      <c r="N23" s="83">
        <f>IF(('[1]20. Spieltag'!M23=""),"",('[1]20.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0</v>
      </c>
      <c r="Q23" s="82">
        <f>IF(('[1]20. Spieltag'!P23=""),"",('[1]20. Spieltag'!P23))</f>
        <v>0</v>
      </c>
      <c r="R23" s="83">
        <f>IF(('[1]20. Spieltag'!Q23=""),"",('[1]20. Spieltag'!Q23))</f>
        <v>2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München</v>
      </c>
      <c r="C24" s="87" t="str">
        <f>Auswertung!$E$5</f>
        <v>M'gladbach</v>
      </c>
      <c r="E24" s="82">
        <f>IF(('[1]20. Spieltag'!D24=""),"",('[1]20. Spieltag'!D24))</f>
        <v>3</v>
      </c>
      <c r="F24" s="83">
        <f>IF(('[1]20. Spieltag'!E24=""),"",('[1]20. Spieltag'!E24))</f>
        <v>1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60</v>
      </c>
      <c r="I24" s="82">
        <f>IF(('[1]20. Spieltag'!H24=""),"",('[1]20. Spieltag'!H24))</f>
        <v>3</v>
      </c>
      <c r="J24" s="83">
        <f>IF(('[1]20. Spieltag'!I24=""),"",('[1]20. Spieltag'!I24))</f>
        <v>1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60</v>
      </c>
      <c r="M24" s="82">
        <f>IF(('[1]20. Spieltag'!L24=""),"",('[1]20. Spieltag'!L24))</f>
        <v>3</v>
      </c>
      <c r="N24" s="83">
        <f>IF(('[1]20. Spieltag'!M24=""),"",('[1]20.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60</v>
      </c>
      <c r="Q24" s="82">
        <f>IF(('[1]20. Spieltag'!P24=""),"",('[1]20. Spieltag'!P24))</f>
        <v>3</v>
      </c>
      <c r="R24" s="83">
        <f>IF(('[1]20. Spieltag'!Q24=""),"",('[1]20. Spieltag'!Q24))</f>
        <v>0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20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Wolfsburg</v>
      </c>
      <c r="C25" s="87" t="str">
        <f>Auswertung!$E$6</f>
        <v>Hoffenheim</v>
      </c>
      <c r="E25" s="82">
        <f>IF(('[1]20. Spieltag'!D25=""),"",('[1]20. Spieltag'!D25))</f>
        <v>2</v>
      </c>
      <c r="F25" s="83">
        <f>IF(('[1]20. Spieltag'!E25=""),"",('[1]20. Spieltag'!E25))</f>
        <v>1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0</v>
      </c>
      <c r="I25" s="82">
        <f>IF(('[1]20. Spieltag'!H25=""),"",('[1]20. Spieltag'!H25))</f>
        <v>2</v>
      </c>
      <c r="J25" s="83">
        <f>IF(('[1]20. Spieltag'!I25=""),"",('[1]20. Spieltag'!I25))</f>
        <v>1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0</v>
      </c>
      <c r="M25" s="82">
        <f>IF(('[1]20. Spieltag'!L25=""),"",('[1]20. Spieltag'!L25))</f>
        <v>2</v>
      </c>
      <c r="N25" s="83">
        <f>IF(('[1]20. Spieltag'!M25=""),"",('[1]20.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0</v>
      </c>
      <c r="Q25" s="82">
        <f>IF(('[1]20. Spieltag'!P25=""),"",('[1]20. Spieltag'!P25))</f>
        <v>2</v>
      </c>
      <c r="R25" s="83">
        <f>IF(('[1]20. Spieltag'!Q25=""),"",('[1]20. Spieltag'!Q25))</f>
        <v>1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Mainz</v>
      </c>
      <c r="C26" s="87" t="str">
        <f>Auswertung!$E$7</f>
        <v>Bremen</v>
      </c>
      <c r="E26" s="82">
        <f>IF(('[1]20. Spieltag'!D26=""),"",('[1]20. Spieltag'!D26))</f>
        <v>2</v>
      </c>
      <c r="F26" s="83">
        <f>IF(('[1]20. Spieltag'!E26=""),"",('[1]20.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0</v>
      </c>
      <c r="I26" s="82">
        <f>IF(('[1]20. Spieltag'!H26=""),"",('[1]20. Spieltag'!H26))</f>
        <v>2</v>
      </c>
      <c r="J26" s="83">
        <f>IF(('[1]20. Spieltag'!I26=""),"",('[1]20.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0</v>
      </c>
      <c r="M26" s="82">
        <f>IF(('[1]20. Spieltag'!L26=""),"",('[1]20. Spieltag'!L26))</f>
        <v>2</v>
      </c>
      <c r="N26" s="83">
        <f>IF(('[1]20. Spieltag'!M26=""),"",('[1]20.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0</v>
      </c>
      <c r="Q26" s="82">
        <f>IF(('[1]20. Spieltag'!P26=""),"",('[1]20. Spieltag'!P26))</f>
        <v>0</v>
      </c>
      <c r="R26" s="83">
        <f>IF(('[1]20. Spieltag'!Q26=""),"",('[1]20. Spieltag'!Q26))</f>
        <v>0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Bochum</v>
      </c>
      <c r="C27" s="87" t="str">
        <f>Auswertung!$E$8</f>
        <v>Augsburg</v>
      </c>
      <c r="E27" s="82">
        <f>IF(('[1]20. Spieltag'!D27=""),"",('[1]20. Spieltag'!D27))</f>
        <v>2</v>
      </c>
      <c r="F27" s="83">
        <f>IF(('[1]20. Spieltag'!E27=""),"",('[1]20. Spieltag'!E27))</f>
        <v>1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IF(('[1]20. Spieltag'!H27=""),"",('[1]20. Spieltag'!H27))</f>
        <v>2</v>
      </c>
      <c r="J27" s="83">
        <f>IF(('[1]20. Spieltag'!I27=""),"",('[1]20. Spieltag'!I27))</f>
        <v>1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IF(('[1]20. Spieltag'!L27=""),"",('[1]20. Spieltag'!L27))</f>
        <v>2</v>
      </c>
      <c r="N27" s="83">
        <f>IF(('[1]20. Spieltag'!M27=""),"",('[1]20.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IF(('[1]20. Spieltag'!P27=""),"",('[1]20. Spieltag'!P27))</f>
        <v>1</v>
      </c>
      <c r="R27" s="83">
        <f>IF(('[1]20. Spieltag'!Q27=""),"",('[1]20. Spieltag'!Q27))</f>
        <v>1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60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Freiburg</v>
      </c>
      <c r="C28" s="91" t="str">
        <f>Auswertung!$E$9</f>
        <v>Stuttgart</v>
      </c>
      <c r="E28" s="82">
        <f>IF(('[1]20. Spieltag'!D28=""),"",('[1]20. Spieltag'!D28))</f>
        <v>2</v>
      </c>
      <c r="F28" s="83">
        <f>IF(('[1]20. Spieltag'!E28=""),"",('[1]20. Spieltag'!E28))</f>
        <v>1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0</v>
      </c>
      <c r="I28" s="82">
        <f>IF(('[1]20. Spieltag'!H28=""),"",('[1]20. Spieltag'!H28))</f>
        <v>2</v>
      </c>
      <c r="J28" s="83">
        <f>IF(('[1]20. Spieltag'!I28=""),"",('[1]20. Spieltag'!I28))</f>
        <v>1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0</v>
      </c>
      <c r="M28" s="82">
        <f>IF(('[1]20. Spieltag'!L28=""),"",('[1]20. Spieltag'!L28))</f>
        <v>1</v>
      </c>
      <c r="N28" s="83">
        <f>IF(('[1]20. Spieltag'!M28=""),"",('[1]20.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0</v>
      </c>
      <c r="Q28" s="82">
        <f>IF(('[1]20. Spieltag'!P28=""),"",('[1]20. Spieltag'!P28))</f>
        <v>1</v>
      </c>
      <c r="R28" s="83">
        <f>IF(('[1]20. Spieltag'!Q28=""),"",('[1]20. Spieltag'!Q28))</f>
        <v>1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160</v>
      </c>
      <c r="K29" s="47">
        <f>SUM(K20:K28)</f>
        <v>160</v>
      </c>
      <c r="O29" s="47">
        <f>SUM(O20:O28)</f>
        <v>160</v>
      </c>
      <c r="S29" s="47">
        <f>SUM(S20:S28)</f>
        <v>120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zoomScale="145" zoomScaleNormal="145" workbookViewId="0">
      <selection activeCell="D13" sqref="D13"/>
    </sheetView>
  </sheetViews>
  <sheetFormatPr baseColWidth="10" defaultColWidth="11.42578125" defaultRowHeight="12.75" x14ac:dyDescent="0.2"/>
  <cols>
    <col min="1" max="1" width="23.28515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180</v>
      </c>
      <c r="C4" s="101">
        <f>Mannschaftstipps!$E$16</f>
        <v>340</v>
      </c>
      <c r="D4" s="101">
        <f>C4+B4</f>
        <v>520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180</v>
      </c>
      <c r="C5" s="107">
        <f>Mannschaftstipps!$I$16</f>
        <v>280</v>
      </c>
      <c r="D5" s="107">
        <f>C5+B5</f>
        <v>460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120</v>
      </c>
      <c r="C6" s="110">
        <f>Mannschaftstipps!$M$16</f>
        <v>215</v>
      </c>
      <c r="D6" s="110">
        <f>C6+B6</f>
        <v>335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180</v>
      </c>
      <c r="C7" s="107">
        <f>Mannschaftstipps!$E$33</f>
        <v>225</v>
      </c>
      <c r="D7" s="107">
        <f t="shared" ref="D7:D12" si="1">C7+B7</f>
        <v>405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160</v>
      </c>
      <c r="C8" s="110">
        <f>Mannschaftstipps!$I$33</f>
        <v>340</v>
      </c>
      <c r="D8" s="110">
        <f t="shared" si="1"/>
        <v>500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160</v>
      </c>
      <c r="C9" s="107">
        <f>Mannschaftstipps!$M$33</f>
        <v>300</v>
      </c>
      <c r="D9" s="107">
        <f t="shared" si="1"/>
        <v>460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160</v>
      </c>
      <c r="C10" s="110">
        <f>Mannschaftstipps!$E$50</f>
        <v>230</v>
      </c>
      <c r="D10" s="110">
        <f t="shared" si="1"/>
        <v>390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160</v>
      </c>
      <c r="C11" s="107">
        <f>Mannschaftstipps!$I$50</f>
        <v>450</v>
      </c>
      <c r="D11" s="107">
        <f t="shared" si="1"/>
        <v>610</v>
      </c>
      <c r="E11" s="108">
        <f t="shared" si="0"/>
        <v>50</v>
      </c>
    </row>
    <row r="12" spans="1:5" x14ac:dyDescent="0.2">
      <c r="A12" s="109" t="s">
        <v>78</v>
      </c>
      <c r="B12" s="110">
        <f>Ergebnistipps!$S$29</f>
        <v>120</v>
      </c>
      <c r="C12" s="110">
        <f>Mannschaftstipps!$M$50</f>
        <v>275</v>
      </c>
      <c r="D12" s="110">
        <f t="shared" si="1"/>
        <v>395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610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2024-01-25T20:31:32Z</cp:lastPrinted>
  <dcterms:created xsi:type="dcterms:W3CDTF">1999-07-16T21:37:12Z</dcterms:created>
  <dcterms:modified xsi:type="dcterms:W3CDTF">2024-02-05T10:23:18Z</dcterms:modified>
</cp:coreProperties>
</file>