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D4AC6D7C-2A7A-479C-A79F-8FCCB1479088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566" i="6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V108" i="6"/>
  <c r="U108" i="6"/>
  <c r="S108" i="6"/>
  <c r="N108" i="6"/>
  <c r="L108" i="6"/>
  <c r="J108" i="6"/>
  <c r="H108" i="6"/>
  <c r="W108" i="6" s="1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V232" i="6"/>
  <c r="U232" i="6"/>
  <c r="S232" i="6"/>
  <c r="N232" i="6"/>
  <c r="L232" i="6"/>
  <c r="J232" i="6"/>
  <c r="H232" i="6"/>
  <c r="W232" i="6" s="1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W76" i="6" s="1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W38" i="6" s="1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W41" i="6" s="1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V506" i="6"/>
  <c r="U506" i="6"/>
  <c r="S506" i="6"/>
  <c r="N506" i="6"/>
  <c r="L506" i="6"/>
  <c r="J506" i="6"/>
  <c r="H506" i="6"/>
  <c r="W506" i="6" s="1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W481" i="6" s="1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W323" i="6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V311" i="6"/>
  <c r="U311" i="6"/>
  <c r="S311" i="6"/>
  <c r="N311" i="6"/>
  <c r="L311" i="6"/>
  <c r="J311" i="6"/>
  <c r="W311" i="6" s="1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V226" i="6"/>
  <c r="U226" i="6"/>
  <c r="S226" i="6"/>
  <c r="N226" i="6"/>
  <c r="L226" i="6"/>
  <c r="J226" i="6"/>
  <c r="H226" i="6"/>
  <c r="W226" i="6" s="1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W188" i="6" s="1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V186" i="6"/>
  <c r="U186" i="6"/>
  <c r="S186" i="6"/>
  <c r="N186" i="6"/>
  <c r="L186" i="6"/>
  <c r="J186" i="6"/>
  <c r="H186" i="6"/>
  <c r="W186" i="6" s="1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W181" i="6" s="1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W177" i="6" s="1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495" i="6" l="1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V119" i="6"/>
  <c r="U119" i="6"/>
  <c r="S119" i="6"/>
  <c r="N119" i="6"/>
  <c r="L119" i="6"/>
  <c r="J119" i="6"/>
  <c r="H119" i="6"/>
  <c r="W119" i="6" s="1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W107" i="6" s="1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W102" i="6" s="1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W98" i="6" s="1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W93" i="6" s="1"/>
  <c r="E93" i="6"/>
  <c r="D93" i="6"/>
  <c r="C93" i="6"/>
  <c r="B93" i="6"/>
  <c r="V92" i="6"/>
  <c r="U92" i="6"/>
  <c r="S92" i="6"/>
  <c r="N92" i="6"/>
  <c r="L92" i="6"/>
  <c r="J92" i="6"/>
  <c r="H92" i="6"/>
  <c r="W92" i="6" s="1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W90" i="6" s="1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W42" i="6" s="1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W195" i="6" s="1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W70" i="6" s="1"/>
  <c r="E70" i="6"/>
  <c r="D70" i="6"/>
  <c r="C70" i="6"/>
  <c r="B70" i="6"/>
  <c r="V69" i="6"/>
  <c r="U69" i="6"/>
  <c r="S69" i="6"/>
  <c r="N69" i="6"/>
  <c r="L69" i="6"/>
  <c r="J69" i="6"/>
  <c r="H69" i="6"/>
  <c r="W69" i="6" s="1"/>
  <c r="E69" i="6"/>
  <c r="D69" i="6"/>
  <c r="C69" i="6"/>
  <c r="B69" i="6"/>
  <c r="V68" i="6"/>
  <c r="U68" i="6"/>
  <c r="S68" i="6"/>
  <c r="N68" i="6"/>
  <c r="L68" i="6"/>
  <c r="J68" i="6"/>
  <c r="H68" i="6"/>
  <c r="W68" i="6" s="1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V59" i="6"/>
  <c r="U59" i="6"/>
  <c r="S59" i="6"/>
  <c r="N59" i="6"/>
  <c r="L59" i="6"/>
  <c r="J59" i="6"/>
  <c r="H59" i="6"/>
  <c r="W59" i="6" s="1"/>
  <c r="E59" i="6"/>
  <c r="D59" i="6"/>
  <c r="C59" i="6"/>
  <c r="B59" i="6"/>
  <c r="W56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W54" i="6" s="1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W479" i="6" s="1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W502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W202" i="6" s="1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W446" i="6"/>
  <c r="H416" i="6"/>
  <c r="J416" i="6"/>
  <c r="L416" i="6"/>
  <c r="N416" i="6"/>
  <c r="S416" i="6"/>
  <c r="U416" i="6"/>
  <c r="V416" i="6"/>
  <c r="H446" i="6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I26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289" i="6" l="1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<sst xmlns="http://schemas.openxmlformats.org/spreadsheetml/2006/main" count="4019" uniqueCount="679">
  <si>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</si>
  <si>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</si>
  <si>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</si>
  <si>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</si>
  <si>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</si>
  <si>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</si>
  <si>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</si>
  <si>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</si>
  <si>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</si>
  <si>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</si>
  <si>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</si>
  <si>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</si>
  <si>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</si>
  <si>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</si>
  <si>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</si>
  <si>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</si>
  <si>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</si>
  <si>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</si>
  <si>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</si>
  <si>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</si>
  <si>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</si>
  <si>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</si>
  <si>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</si>
  <si>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</si>
  <si>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</si>
  <si>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</si>
  <si>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</si>
  <si>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</si>
  <si>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</si>
  <si>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</si>
  <si>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</si>
  <si>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</si>
  <si>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</si>
  <si>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</si>
  <si>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</si>
  <si>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</si>
  <si>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</si>
  <si>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</si>
  <si>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</si>
  <si>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</si>
  <si>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</si>
  <si>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</si>
  <si>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</si>
  <si>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</si>
  <si>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</si>
  <si>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</si>
  <si>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</si>
  <si>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</si>
  <si>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</si>
  <si>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</si>
  <si>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</si>
  <si>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</si>
  <si>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</si>
  <si>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</si>
  <si>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</si>
  <si>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</si>
  <si>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</si>
  <si>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</si>
  <si>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</si>
  <si>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</si>
  <si>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</si>
  <si>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</si>
  <si>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</si>
  <si>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</si>
  <si>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</si>
  <si>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</si>
  <si>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</si>
  <si>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</si>
  <si>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</si>
  <si>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</si>
  <si>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</si>
  <si>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</si>
  <si>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</si>
  <si>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</si>
  <si>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</si>
  <si>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</si>
  <si>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</si>
  <si>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</si>
  <si>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</si>
  <si>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</si>
  <si>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</si>
  <si>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</si>
  <si>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</si>
  <si>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</si>
  <si>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</si>
  <si>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</si>
  <si>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</si>
  <si>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</si>
  <si>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</si>
  <si>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</si>
  <si>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</si>
  <si>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</si>
  <si>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</si>
  <si>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</si>
  <si>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</si>
  <si>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</si>
  <si>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</si>
  <si>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</si>
  <si>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</si>
  <si>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</si>
  <si>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</si>
  <si>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</si>
  <si>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</si>
  <si>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</si>
  <si>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</si>
  <si>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</si>
  <si>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</si>
  <si>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</si>
  <si>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</si>
  <si>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</si>
  <si>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</si>
  <si>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</si>
  <si>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</si>
  <si>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</si>
  <si>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</si>
  <si>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</si>
  <si>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</si>
  <si>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</si>
  <si>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</si>
  <si>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</si>
  <si>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</si>
  <si>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</si>
  <si>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</si>
  <si>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</si>
  <si>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</si>
  <si>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</si>
  <si>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</si>
  <si>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</si>
  <si>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</si>
  <si>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</si>
  <si>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</si>
  <si>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</si>
  <si>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</si>
  <si>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</si>
  <si>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</si>
  <si>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</si>
  <si>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</si>
  <si>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</si>
  <si>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</si>
  <si>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</si>
  <si>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</si>
  <si>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</si>
  <si>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</si>
  <si>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</si>
  <si>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</si>
  <si>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</si>
  <si>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</si>
  <si>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</si>
  <si>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</si>
  <si>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</si>
  <si>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</si>
  <si>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</si>
  <si>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</si>
  <si>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</si>
  <si>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</si>
  <si>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</si>
  <si>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</si>
  <si>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</si>
  <si>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</si>
  <si>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</si>
  <si>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</si>
  <si>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</si>
  <si>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</si>
  <si>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</si>
  <si>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</si>
  <si>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</si>
  <si>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</si>
  <si>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</si>
  <si>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</si>
  <si>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</si>
  <si>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</si>
  <si>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</si>
  <si>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</si>
  <si>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</si>
  <si>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</si>
  <si>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</si>
  <si>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</si>
  <si>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</si>
  <si>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</si>
  <si>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</si>
  <si>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</si>
  <si>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</si>
  <si>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</si>
  <si>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</si>
  <si>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</si>
  <si>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</si>
  <si>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</si>
  <si>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</si>
  <si>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</si>
  <si>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</si>
  <si>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</si>
  <si>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</si>
  <si>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</si>
  <si>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</si>
  <si>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</si>
  <si>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</si>
  <si>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</si>
  <si>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</si>
  <si>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</si>
  <si>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</si>
  <si>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</si>
  <si>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</si>
  <si>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</si>
  <si>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</si>
  <si>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</si>
  <si>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</si>
  <si>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</si>
  <si>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</si>
  <si>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</si>
  <si>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</si>
  <si>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</si>
  <si>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</si>
  <si>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</si>
  <si>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</si>
  <si>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</si>
  <si>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</si>
  <si>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</si>
  <si>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</si>
  <si>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</si>
  <si>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</si>
  <si>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</si>
  <si>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</si>
  <si>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</si>
  <si>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</si>
  <si>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</si>
  <si>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</si>
  <si>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</si>
  <si>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</si>
  <si>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</si>
  <si>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</si>
  <si>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</si>
  <si>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</si>
  <si>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</si>
  <si>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</si>
  <si>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</si>
  <si>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</si>
  <si>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</si>
  <si>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</si>
  <si>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</si>
  <si>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</si>
  <si>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</si>
  <si>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</si>
  <si>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</si>
  <si>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</si>
  <si>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</si>
  <si>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</si>
  <si>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</si>
  <si>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</si>
  <si>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</si>
  <si>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</si>
  <si>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</si>
  <si>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</si>
  <si>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</si>
  <si>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</si>
  <si>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</si>
  <si>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</si>
  <si>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</si>
  <si>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</si>
  <si>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</si>
  <si>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</si>
  <si>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</si>
  <si>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</si>
  <si>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</si>
  <si>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</si>
  <si>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</si>
  <si>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</si>
  <si>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</si>
  <si>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</si>
  <si>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</si>
  <si>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</si>
  <si>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</si>
  <si>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</si>
  <si>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</si>
  <si>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</si>
  <si>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</si>
  <si>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</si>
  <si>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</si>
  <si>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</si>
  <si>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</si>
  <si>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</si>
  <si>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</si>
  <si>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</si>
  <si>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</si>
  <si>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</si>
  <si>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</si>
  <si>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</si>
  <si>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</si>
  <si>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</si>
  <si>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</si>
  <si>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</si>
  <si>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</si>
  <si>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</si>
  <si>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</si>
  <si>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</si>
  <si>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</si>
  <si>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</si>
  <si>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</si>
  <si>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</si>
  <si>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</si>
  <si>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</si>
  <si>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</si>
  <si>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</si>
  <si>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</si>
  <si>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</si>
  <si>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</si>
  <si>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</si>
  <si>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</si>
  <si>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</si>
  <si>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</si>
  <si>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</si>
  <si>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</si>
  <si>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</si>
  <si>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</si>
  <si>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</si>
  <si>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</si>
  <si>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</si>
  <si>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</si>
  <si>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</si>
  <si>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</si>
  <si>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</si>
  <si>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</si>
  <si>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</si>
  <si>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</si>
  <si>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</si>
  <si>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</si>
  <si>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</si>
  <si>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</si>
  <si>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</si>
  <si>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</si>
  <si>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</si>
  <si>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</si>
  <si>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</si>
  <si>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</si>
  <si>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</si>
  <si>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</si>
  <si>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</si>
  <si>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</si>
  <si>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</si>
  <si>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</si>
  <si>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</si>
  <si>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</si>
  <si>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</si>
  <si>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</si>
  <si>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</si>
  <si>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</si>
  <si>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</si>
  <si>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</si>
  <si>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</si>
  <si>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</si>
  <si>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</si>
  <si>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</si>
  <si>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</si>
  <si>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</si>
  <si>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</si>
  <si>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</si>
  <si>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</si>
  <si>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</si>
  <si>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</si>
  <si>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</si>
  <si>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</si>
  <si>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</si>
  <si>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</si>
  <si>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</si>
  <si>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</si>
  <si>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</si>
  <si>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</si>
  <si>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</si>
  <si>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</si>
  <si>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</si>
  <si>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</si>
  <si>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</si>
  <si>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</si>
  <si>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</si>
  <si>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</si>
  <si>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</si>
  <si>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</si>
  <si>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</si>
  <si>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</si>
  <si>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</si>
  <si>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</si>
  <si>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</si>
  <si>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</si>
  <si>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</si>
  <si>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</si>
  <si>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</si>
  <si>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</si>
  <si>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</si>
  <si>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</si>
  <si>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</si>
  <si>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</si>
  <si>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</si>
  <si>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</si>
  <si>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</si>
  <si>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</si>
  <si>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</si>
  <si>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</si>
  <si>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</si>
  <si>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</si>
  <si>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</si>
  <si>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</si>
  <si>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</si>
  <si>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</si>
  <si>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</si>
  <si>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</si>
  <si>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</si>
  <si>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</si>
  <si>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</si>
  <si>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</si>
  <si>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</si>
  <si>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</si>
  <si>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</si>
  <si>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</si>
  <si>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</si>
  <si>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</si>
  <si>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</si>
  <si>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</si>
  <si>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</si>
  <si>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</si>
  <si>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</si>
  <si>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</si>
  <si>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</si>
  <si>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</si>
  <si>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</si>
  <si>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</si>
  <si>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</si>
  <si>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</si>
  <si>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</si>
  <si>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</si>
  <si>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</si>
  <si>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</si>
  <si>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</si>
  <si>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</si>
  <si>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</si>
  <si>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</si>
  <si>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</si>
  <si>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</si>
  <si>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</si>
  <si>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</si>
  <si>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</si>
  <si>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</si>
  <si>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</si>
  <si>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</si>
  <si>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</si>
  <si>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</si>
  <si>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</si>
  <si>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</si>
  <si>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</si>
  <si>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</si>
  <si>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</si>
  <si>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</si>
  <si>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</si>
  <si>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</si>
  <si>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</si>
  <si>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</si>
  <si>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</si>
  <si>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</si>
  <si>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</si>
  <si>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</si>
  <si>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</si>
  <si>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</si>
  <si>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</si>
  <si>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</si>
  <si>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</si>
  <si>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</si>
  <si>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</si>
  <si>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</si>
  <si>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</si>
  <si>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</si>
  <si>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</si>
  <si>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</si>
  <si>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</si>
  <si>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</si>
  <si>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</si>
  <si>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</si>
  <si>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</si>
  <si>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</si>
  <si>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</si>
  <si>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</si>
  <si>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</si>
  <si>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</si>
  <si>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</si>
  <si>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</si>
  <si>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</si>
  <si>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</si>
  <si>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</si>
  <si>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</si>
  <si>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</si>
  <si>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</si>
  <si>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</si>
  <si>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</si>
  <si>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</si>
  <si>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</si>
  <si>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</si>
  <si>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</si>
  <si>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</si>
  <si>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</si>
  <si>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</si>
  <si>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</si>
  <si>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</si>
  <si>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</si>
  <si>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</si>
  <si>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</si>
  <si>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</si>
  <si>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</si>
  <si>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</si>
  <si>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</si>
  <si>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</si>
  <si>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</si>
  <si>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</si>
  <si>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</si>
  <si>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</si>
  <si>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</si>
  <si>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</si>
  <si>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</si>
  <si>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</si>
  <si>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</si>
  <si>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</si>
  <si>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</si>
  <si>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</si>
  <si>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</si>
  <si>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</si>
  <si>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</si>
  <si>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</si>
  <si>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</si>
  <si>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</si>
  <si>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</si>
  <si>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</si>
  <si>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</si>
  <si>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</si>
  <si>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</si>
  <si>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</si>
  <si>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</si>
  <si>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</si>
  <si>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</si>
  <si>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</si>
  <si>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</si>
  <si>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</si>
  <si>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</si>
  <si>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</si>
  <si>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</si>
  <si>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</si>
  <si>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</si>
  <si>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</si>
  <si>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</si>
  <si>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</si>
  <si>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</si>
  <si>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</si>
  <si>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</si>
  <si>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</si>
  <si>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</si>
  <si>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</si>
  <si>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</si>
  <si>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</si>
  <si>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</si>
  <si>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</si>
  <si>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</si>
  <si>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</si>
  <si>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</si>
  <si>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</si>
  <si>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</si>
  <si>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</si>
  <si>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</si>
  <si>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</si>
  <si>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</si>
  <si>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</si>
  <si>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</si>
  <si>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</si>
  <si>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</si>
  <si>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</si>
  <si>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</si>
  <si>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</si>
  <si>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</si>
  <si>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</si>
  <si>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</si>
  <si>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</si>
  <si>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</si>
  <si>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</si>
  <si>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</si>
  <si>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</si>
  <si>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</si>
  <si>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</si>
  <si>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</si>
  <si>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</si>
  <si>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</si>
  <si>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</si>
  <si>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</si>
  <si>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</si>
  <si>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</si>
  <si>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</si>
  <si>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</si>
  <si>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</si>
  <si>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</si>
  <si>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</si>
  <si>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</si>
  <si>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</si>
  <si>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</si>
  <si>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</si>
  <si>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</si>
  <si>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</si>
  <si>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</si>
  <si>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</si>
  <si>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</si>
  <si>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</si>
  <si>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</si>
  <si>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</si>
  <si>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</si>
  <si>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</si>
  <si>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</si>
  <si>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</si>
  <si>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</si>
  <si>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</si>
  <si>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</si>
  <si>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</si>
  <si>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</si>
  <si>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</si>
  <si>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</si>
  <si>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</si>
  <si>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</si>
  <si>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</si>
  <si>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</si>
  <si>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</si>
  <si>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</si>
  <si>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</si>
  <si>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</si>
  <si>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</si>
  <si>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</si>
  <si>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</si>
  <si>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</si>
  <si>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</si>
  <si>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</si>
  <si>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</si>
  <si>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</si>
  <si>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</si>
  <si>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</si>
  <si>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</si>
  <si>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</si>
  <si>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</si>
  <si>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</si>
  <si>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</si>
  <si>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</si>
  <si>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</si>
  <si>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</si>
  <si>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</si>
  <si>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</si>
  <si>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</si>
  <si>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</si>
  <si>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</si>
  <si>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</si>
  <si>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</si>
  <si>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</si>
  <si>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</si>
  <si>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</si>
  <si>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</si>
  <si>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</si>
  <si>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</si>
  <si>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</si>
  <si>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</si>
  <si>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</si>
  <si>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</si>
  <si>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</si>
  <si>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</si>
  <si>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</si>
  <si>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</si>
  <si>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</si>
  <si>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</si>
  <si>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</si>
  <si>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</si>
  <si>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</si>
  <si>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</si>
  <si>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</si>
  <si>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</si>
  <si>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</si>
  <si>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</si>
  <si>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</si>
  <si>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Koch für Nübel und Anton für Koch</t>
  </si>
  <si>
    <t>konnten nicht berücksichtigt werden</t>
  </si>
  <si>
    <t>Es gibt keinen Torhüter "Koch". Dadurch bleibt Nübel im Team, so dass</t>
  </si>
  <si>
    <t>Anton nicht eingewechselt werden konnte, da bereits 2 Stuttgarter im Team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</si>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</sst>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  <xf numFmtId="165" fontId="15" fillId="6" borderId="42" xfId="0" applyNumberFormat="1" applyFont="1" applyFill="1" applyBorder="1" applyAlignment="1" applyProtection="1">
      <alignment horizontal="center" vertical="center"/>
      <protection locked="0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Bochum</v>
          </cell>
          <cell r="B5" t="str">
            <v>München</v>
          </cell>
          <cell r="D5">
            <v>1</v>
          </cell>
          <cell r="E5">
            <v>3</v>
          </cell>
          <cell r="H5">
            <v>1</v>
          </cell>
          <cell r="I5">
            <v>3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3</v>
          </cell>
        </row>
        <row r="6">
          <cell r="A6" t="str">
            <v>Wolfsburg</v>
          </cell>
          <cell r="B6" t="str">
            <v>Dortmund</v>
          </cell>
          <cell r="D6">
            <v>0</v>
          </cell>
          <cell r="E6">
            <v>2</v>
          </cell>
          <cell r="H6">
            <v>0</v>
          </cell>
          <cell r="I6">
            <v>2</v>
          </cell>
          <cell r="L6">
            <v>1</v>
          </cell>
          <cell r="M6">
            <v>2</v>
          </cell>
          <cell r="P6">
            <v>0</v>
          </cell>
          <cell r="Q6">
            <v>2</v>
          </cell>
          <cell r="T6">
            <v>1</v>
          </cell>
          <cell r="U6">
            <v>2</v>
          </cell>
        </row>
        <row r="7">
          <cell r="A7" t="str">
            <v>Hoffenheim</v>
          </cell>
          <cell r="B7" t="str">
            <v>Union Berlin</v>
          </cell>
          <cell r="D7">
            <v>2</v>
          </cell>
          <cell r="E7">
            <v>1</v>
          </cell>
          <cell r="H7">
            <v>2</v>
          </cell>
          <cell r="I7">
            <v>1</v>
          </cell>
          <cell r="L7">
            <v>2</v>
          </cell>
          <cell r="M7">
            <v>1</v>
          </cell>
          <cell r="P7">
            <v>2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Heidenheim</v>
          </cell>
          <cell r="B8" t="str">
            <v>Leverkusen</v>
          </cell>
          <cell r="D8">
            <v>1</v>
          </cell>
          <cell r="E8">
            <v>3</v>
          </cell>
          <cell r="H8">
            <v>1</v>
          </cell>
          <cell r="I8">
            <v>3</v>
          </cell>
          <cell r="L8">
            <v>1</v>
          </cell>
          <cell r="M8">
            <v>3</v>
          </cell>
          <cell r="P8">
            <v>1</v>
          </cell>
          <cell r="Q8">
            <v>3</v>
          </cell>
          <cell r="T8">
            <v>1</v>
          </cell>
          <cell r="U8">
            <v>2</v>
          </cell>
        </row>
        <row r="9">
          <cell r="A9" t="str">
            <v>Freiburg</v>
          </cell>
          <cell r="B9" t="str">
            <v>Frankfurt</v>
          </cell>
          <cell r="D9">
            <v>2</v>
          </cell>
          <cell r="E9">
            <v>2</v>
          </cell>
          <cell r="H9">
            <v>2</v>
          </cell>
          <cell r="I9">
            <v>2</v>
          </cell>
          <cell r="L9">
            <v>2</v>
          </cell>
          <cell r="M9">
            <v>1</v>
          </cell>
          <cell r="P9">
            <v>2</v>
          </cell>
          <cell r="Q9">
            <v>2</v>
          </cell>
          <cell r="T9">
            <v>2</v>
          </cell>
          <cell r="U9">
            <v>1</v>
          </cell>
        </row>
        <row r="10">
          <cell r="A10" t="str">
            <v>Leipzig</v>
          </cell>
          <cell r="B10" t="str">
            <v>M'gladbach</v>
          </cell>
          <cell r="D10">
            <v>3</v>
          </cell>
          <cell r="E10">
            <v>1</v>
          </cell>
          <cell r="H10">
            <v>3</v>
          </cell>
          <cell r="I10">
            <v>1</v>
          </cell>
          <cell r="L10">
            <v>2</v>
          </cell>
          <cell r="M10">
            <v>1</v>
          </cell>
          <cell r="P10">
            <v>3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Köln</v>
          </cell>
          <cell r="B11" t="str">
            <v>Bremen</v>
          </cell>
          <cell r="D11">
            <v>3</v>
          </cell>
          <cell r="E11">
            <v>1</v>
          </cell>
          <cell r="H11">
            <v>3</v>
          </cell>
          <cell r="I11">
            <v>1</v>
          </cell>
          <cell r="L11">
            <v>2</v>
          </cell>
          <cell r="M11">
            <v>1</v>
          </cell>
          <cell r="P11">
            <v>3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Mainz</v>
          </cell>
          <cell r="B12" t="str">
            <v>Augsburg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  <cell r="L12">
            <v>1</v>
          </cell>
          <cell r="M12">
            <v>1</v>
          </cell>
          <cell r="P12">
            <v>1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Darmstadt</v>
          </cell>
          <cell r="B13" t="str">
            <v>Stuttgart</v>
          </cell>
          <cell r="D13">
            <v>0</v>
          </cell>
          <cell r="E13">
            <v>3</v>
          </cell>
          <cell r="H13">
            <v>0</v>
          </cell>
          <cell r="I13">
            <v>3</v>
          </cell>
          <cell r="L13">
            <v>1</v>
          </cell>
          <cell r="M13">
            <v>3</v>
          </cell>
          <cell r="P13">
            <v>0</v>
          </cell>
          <cell r="Q13">
            <v>3</v>
          </cell>
          <cell r="T13">
            <v>1</v>
          </cell>
          <cell r="U13">
            <v>2</v>
          </cell>
        </row>
        <row r="20">
          <cell r="D20">
            <v>1</v>
          </cell>
          <cell r="E20">
            <v>3</v>
          </cell>
          <cell r="H20">
            <v>1</v>
          </cell>
          <cell r="I20">
            <v>3</v>
          </cell>
          <cell r="L20">
            <v>1</v>
          </cell>
          <cell r="M20">
            <v>2</v>
          </cell>
          <cell r="P20">
            <v>0</v>
          </cell>
          <cell r="Q20">
            <v>3</v>
          </cell>
        </row>
        <row r="21">
          <cell r="D21">
            <v>1</v>
          </cell>
          <cell r="E21">
            <v>2</v>
          </cell>
          <cell r="H21">
            <v>1</v>
          </cell>
          <cell r="I21">
            <v>2</v>
          </cell>
          <cell r="L21">
            <v>1</v>
          </cell>
          <cell r="M21">
            <v>2</v>
          </cell>
          <cell r="P21">
            <v>1</v>
          </cell>
          <cell r="Q21">
            <v>2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1</v>
          </cell>
          <cell r="Q22">
            <v>1</v>
          </cell>
        </row>
        <row r="23">
          <cell r="D23">
            <v>1</v>
          </cell>
          <cell r="E23">
            <v>2</v>
          </cell>
          <cell r="H23">
            <v>1</v>
          </cell>
          <cell r="I23">
            <v>2</v>
          </cell>
          <cell r="L23">
            <v>1</v>
          </cell>
          <cell r="M23">
            <v>2</v>
          </cell>
          <cell r="P23">
            <v>1</v>
          </cell>
          <cell r="Q23">
            <v>3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1</v>
          </cell>
          <cell r="M24">
            <v>1</v>
          </cell>
          <cell r="P24">
            <v>1</v>
          </cell>
          <cell r="Q24">
            <v>1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2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1</v>
          </cell>
          <cell r="M26">
            <v>1</v>
          </cell>
          <cell r="P26">
            <v>0</v>
          </cell>
          <cell r="Q26">
            <v>0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1</v>
          </cell>
          <cell r="M27">
            <v>1</v>
          </cell>
          <cell r="P27">
            <v>1</v>
          </cell>
          <cell r="Q27">
            <v>0</v>
          </cell>
        </row>
        <row r="28">
          <cell r="D28">
            <v>1</v>
          </cell>
          <cell r="E28">
            <v>2</v>
          </cell>
          <cell r="H28">
            <v>1</v>
          </cell>
          <cell r="I28">
            <v>2</v>
          </cell>
          <cell r="L28">
            <v>1</v>
          </cell>
          <cell r="M28">
            <v>2</v>
          </cell>
          <cell r="P28">
            <v>0</v>
          </cell>
          <cell r="Q28">
            <v>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30</v>
          </cell>
        </row>
      </sheetData>
      <sheetData sheetId="1">
        <row r="3">
          <cell r="B3">
            <v>29</v>
          </cell>
        </row>
      </sheetData>
      <sheetData sheetId="2">
        <row r="3">
          <cell r="B3">
            <v>28</v>
          </cell>
        </row>
      </sheetData>
      <sheetData sheetId="3">
        <row r="3">
          <cell r="B3">
            <v>28</v>
          </cell>
        </row>
      </sheetData>
      <sheetData sheetId="4">
        <row r="3">
          <cell r="B3">
            <v>26</v>
          </cell>
        </row>
      </sheetData>
      <sheetData sheetId="5">
        <row r="3">
          <cell r="B3">
            <v>27</v>
          </cell>
        </row>
      </sheetData>
      <sheetData sheetId="6">
        <row r="3">
          <cell r="B3">
            <v>27</v>
          </cell>
        </row>
      </sheetData>
      <sheetData sheetId="7">
        <row r="3">
          <cell r="B3">
            <v>33</v>
          </cell>
        </row>
      </sheetData>
      <sheetData sheetId="8">
        <row r="3">
          <cell r="B3">
            <v>29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Bochum</v>
      </c>
      <c r="B1" s="2" t="str">
        <f>Auswertung!E1</f>
        <v>München</v>
      </c>
      <c r="C1" s="3">
        <f>Auswertung!I1</f>
        <v>3</v>
      </c>
      <c r="D1" s="4">
        <f>Auswertung!J1</f>
        <v>2</v>
      </c>
    </row>
    <row r="2" spans="1:6" x14ac:dyDescent="0.2">
      <c r="A2" s="1" t="str">
        <f>Auswertung!D2</f>
        <v>Wolfsburg</v>
      </c>
      <c r="B2" s="2" t="str">
        <f>Auswertung!E2</f>
        <v>Dortmund</v>
      </c>
      <c r="C2" s="3">
        <f>Auswertung!I2</f>
        <v>1</v>
      </c>
      <c r="D2" s="4">
        <f>Auswertung!J2</f>
        <v>1</v>
      </c>
    </row>
    <row r="3" spans="1:6" x14ac:dyDescent="0.2">
      <c r="A3" s="1" t="str">
        <f>Auswertung!D3</f>
        <v>Hoffenheim</v>
      </c>
      <c r="B3" s="2" t="str">
        <f>Auswertung!E3</f>
        <v>Union Berlin</v>
      </c>
      <c r="C3" s="3">
        <f>Auswertung!I3</f>
        <v>0</v>
      </c>
      <c r="D3" s="4">
        <f>Auswertung!J3</f>
        <v>1</v>
      </c>
    </row>
    <row r="4" spans="1:6" x14ac:dyDescent="0.2">
      <c r="A4" s="1" t="str">
        <f>Auswertung!D4</f>
        <v>Heidenheim</v>
      </c>
      <c r="B4" s="2" t="str">
        <f>Auswertung!E4</f>
        <v>Leverkusen</v>
      </c>
      <c r="C4" s="3">
        <f>Auswertung!I4</f>
        <v>1</v>
      </c>
      <c r="D4" s="4">
        <f>Auswertung!J4</f>
        <v>2</v>
      </c>
    </row>
    <row r="5" spans="1:6" x14ac:dyDescent="0.2">
      <c r="A5" s="1" t="str">
        <f>Auswertung!D5</f>
        <v>Freiburg</v>
      </c>
      <c r="B5" s="2" t="str">
        <f>Auswertung!E5</f>
        <v>Frankfurt</v>
      </c>
      <c r="C5" s="3">
        <f>Auswertung!I5</f>
        <v>3</v>
      </c>
      <c r="D5" s="4">
        <f>Auswertung!J5</f>
        <v>3</v>
      </c>
    </row>
    <row r="6" spans="1:6" x14ac:dyDescent="0.2">
      <c r="A6" s="1" t="str">
        <f>Auswertung!D6</f>
        <v>Leipzig</v>
      </c>
      <c r="B6" s="2" t="str">
        <f>Auswertung!E6</f>
        <v>M'gladbach</v>
      </c>
      <c r="C6" s="3">
        <f>Auswertung!I6</f>
        <v>2</v>
      </c>
      <c r="D6" s="4">
        <f>Auswertung!J6</f>
        <v>0</v>
      </c>
    </row>
    <row r="7" spans="1:6" x14ac:dyDescent="0.2">
      <c r="A7" s="1" t="str">
        <f>Auswertung!D7</f>
        <v>Köln</v>
      </c>
      <c r="B7" s="2" t="str">
        <f>Auswertung!E7</f>
        <v>Bremen</v>
      </c>
      <c r="C7" s="3">
        <f>Auswertung!I7</f>
        <v>0</v>
      </c>
      <c r="D7" s="4">
        <f>Auswertung!J7</f>
        <v>1</v>
      </c>
    </row>
    <row r="8" spans="1:6" x14ac:dyDescent="0.2">
      <c r="A8" s="1" t="str">
        <f>Auswertung!D8</f>
        <v>Mainz</v>
      </c>
      <c r="B8" s="2" t="str">
        <f>Auswertung!E8</f>
        <v>Augsburg</v>
      </c>
      <c r="C8" s="3">
        <f>Auswertung!I8</f>
        <v>1</v>
      </c>
      <c r="D8" s="4">
        <f>Auswertung!J8</f>
        <v>0</v>
      </c>
    </row>
    <row r="9" spans="1:6" x14ac:dyDescent="0.2">
      <c r="A9" s="1" t="str">
        <f>Auswertung!D9</f>
        <v>Darmstadt</v>
      </c>
      <c r="B9" s="2" t="str">
        <f>Auswertung!E9</f>
        <v>Stuttgart</v>
      </c>
      <c r="C9" s="3">
        <f>Auswertung!I9</f>
        <v>1</v>
      </c>
      <c r="D9" s="4">
        <f>Auswertung!J9</f>
        <v>2</v>
      </c>
    </row>
    <row r="12" spans="1:6" x14ac:dyDescent="0.2">
      <c r="A12" s="6" t="s">
        <v>49</v>
      </c>
      <c r="B12" s="6">
        <f t="shared" ref="B12:B47" si="0">SUM(C12:E12)</f>
        <v>2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2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3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3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1</v>
      </c>
      <c r="F14" s="6"/>
    </row>
    <row r="15" spans="1:6" ht="13.5" thickBot="1" x14ac:dyDescent="0.25">
      <c r="A15" s="7" t="s">
        <v>319</v>
      </c>
      <c r="B15" s="7">
        <f t="shared" si="0"/>
        <v>0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0</v>
      </c>
      <c r="F15" s="6"/>
    </row>
    <row r="16" spans="1:6" x14ac:dyDescent="0.2">
      <c r="A16" s="6" t="s">
        <v>34</v>
      </c>
      <c r="B16" s="6">
        <f t="shared" si="0"/>
        <v>1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1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1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2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1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1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1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401</v>
      </c>
      <c r="B21" s="7">
        <f t="shared" si="0"/>
        <v>2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2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2</v>
      </c>
      <c r="C22" s="6">
        <f>IF($A$1="Leipzig",$C$1,IF($A$2="Leipzig",$C$2,IF($A$3="Leipzig",$C$3,IF($A$4="Leipzig",$C$4,IF($A$5="Leipzig",$C$5,IF($A$6="Leipzig",$C$6,IF($A$7="Leipzig",$C$7,IF($A$7="Leipzig",$C$7,""))))))))</f>
        <v>2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6" t="s">
        <v>131</v>
      </c>
      <c r="B23" s="7">
        <f t="shared" si="0"/>
        <v>0</v>
      </c>
      <c r="C23" s="7">
        <f>IF($A$1="Leipzig",$D$1,IF($A$2="Leipzig",$D$2,IF($A$3="Leipzig",$D$3,IF($A$4="Leipzig",$D$4,IF($A$5="Leipzig",$D$5,IF($A$6="Leipzig",$D$6,IF($A$7="Leipzig",$D$7,IF($A$7="Leipzig",$D$7,""))))))))</f>
        <v>0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3</v>
      </c>
      <c r="C24" s="6">
        <f>IF($A$1="Bochum",$C$1,IF($A$2="Bochum",$C$2,IF($A$3="Bochum",$C$3,IF($A$4="Bochum",$C$4,IF($A$5="Bochum",$C$5,IF($A$6="Bochum",$C$6,IF($A$7="Bochum",$C$7,IF($A$7="Bochum",$C$7,""))))))))</f>
        <v>3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2</v>
      </c>
      <c r="C25" s="7">
        <f>IF($A$1="Bochum",$D$1,IF($A$2="Bochum",$D$2,IF($A$3="Bochum",$D$3,IF($A$4="Bochum",$D$4,IF($A$5="Bochum",$D$5,IF($A$6="Bochum",$D$6,IF($A$7="Bochum",$D$7,IF($A$7="Bochum",$D$7,""))))))))</f>
        <v>2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2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2</v>
      </c>
      <c r="F26" s="6"/>
    </row>
    <row r="27" spans="1:6" ht="13.5" thickBot="1" x14ac:dyDescent="0.25">
      <c r="A27" s="7" t="s">
        <v>227</v>
      </c>
      <c r="B27" s="7">
        <f t="shared" si="0"/>
        <v>1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1</v>
      </c>
      <c r="F27" s="6"/>
    </row>
    <row r="28" spans="1:6" x14ac:dyDescent="0.2">
      <c r="A28" s="6" t="s">
        <v>39</v>
      </c>
      <c r="B28" s="6">
        <f t="shared" si="0"/>
        <v>1</v>
      </c>
      <c r="C28" s="6">
        <f>IF($A$1="Wolfsburg",$C$1,IF($A$2="Wolfsburg",$C$2,IF($A$3="Wolfsburg",$C$3,IF($A$4="Wolfsburg",$C$4,IF($A$5="Wolfsburg",$C$5,IF($A$6="Wolfsburg",$C$6,IF($A$7="Wolfsburg",$C$7,IF($A$7="Wolfsburg",$C$7,""))))))))</f>
        <v>1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>
        <f>IF($A$1="Wolfsburg",$D$1,IF($A$2="Wolfsburg",$D$2,IF($A$3="Wolfsburg",$D$3,IF($A$4="Wolfsburg",$D$4,IF($A$5="Wolfsburg",$D$5,IF($A$6="Wolfsburg",$D$6,IF($A$7="Wolfsburg",$D$7,IF($A$7="Wolfsburg",$D$7,""))))))))</f>
        <v>1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0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0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1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1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1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1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0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0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0</v>
      </c>
      <c r="C34" s="6">
        <f>IF($A$1="Köln",$C$1,IF($A$2="Köln",$C$2,IF($A$3="Köln",$C$3,IF($A$4="Köln",$C$4,IF($A$5="Köln",$C$5,IF($A$6="Köln",$C$6,IF($A$7="Köln",$C$7,IF($A$7="Köln",$C$7,""))))))))</f>
        <v>0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1</v>
      </c>
      <c r="C35" s="7">
        <f>IF($A$1="Köln",$D$1,IF($A$2="Köln",$D$2,IF($A$3="Köln",$D$3,IF($A$4="Köln",$D$4,IF($A$5="Köln",$D$5,IF($A$6="Köln",$D$6,IF($A$7="Köln",$D$7,IF($A$7="Köln",$D$7,""))))))))</f>
        <v>1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1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1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403</v>
      </c>
      <c r="B37" s="7">
        <f t="shared" si="0"/>
        <v>2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2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0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0</v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1</v>
      </c>
      <c r="F39" s="6"/>
    </row>
    <row r="40" spans="1:6" x14ac:dyDescent="0.2">
      <c r="A40" s="5" t="s">
        <v>132</v>
      </c>
      <c r="B40" s="6">
        <f t="shared" si="0"/>
        <v>3</v>
      </c>
      <c r="C40" s="6">
        <f>IF($A$1="Freiburg",$C$1,IF($A$2="Freiburg",$C$2,IF($A$3="Freiburg",$C$3,IF($A$4="Freiburg",$C$4,IF($A$5="Freiburg",$C$5,IF($A$6="Freiburg",$C$6,IF($A$7="Freiburg",$C$7,IF($A$7="Freiburg",$C$7,""))))))))</f>
        <v>3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6" t="s">
        <v>133</v>
      </c>
      <c r="B41" s="7">
        <f t="shared" si="0"/>
        <v>3</v>
      </c>
      <c r="C41" s="7">
        <f>IF($A$1="Freiburg",$D$1,IF($A$2="Freiburg",$D$2,IF($A$3="Freiburg",$D$3,IF($A$4="Freiburg",$D$4,IF($A$5="Freiburg",$D$5,IF($A$6="Freiburg",$D$6,IF($A$7="Freiburg",$D$7,IF($A$7="Freiburg",$D$7,""))))))))</f>
        <v>3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3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3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3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3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1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0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0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0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2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2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49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Q89" sqref="Q89"/>
    </sheetView>
  </sheetViews>
  <sheetFormatPr baseColWidth="10" defaultColWidth="11.42578125" defaultRowHeight="10.5" customHeight="1" x14ac:dyDescent="0.2"/>
  <cols>
    <col min="1" max="1" width="3.7109375" style="171" customWidth="1"/>
    <col min="2" max="3" width="25.7109375" style="174" customWidth="1"/>
    <col min="4" max="9" width="8.7109375" style="171" hidden="1" customWidth="1"/>
    <col min="10" max="10" width="2.5703125" style="171" customWidth="1"/>
    <col min="11" max="19" width="10" style="171" customWidth="1"/>
    <col min="20" max="26" width="10" style="171" hidden="1" customWidth="1"/>
    <col min="27" max="27" width="11.42578125" style="174" hidden="1" customWidth="1"/>
    <col min="28" max="28" width="23.28515625" style="174" hidden="1" customWidth="1"/>
    <col min="29" max="37" width="11.42578125" style="174" customWidth="1"/>
    <col min="38" max="16384" width="11.42578125" style="174"/>
  </cols>
  <sheetData>
    <row r="1" spans="1:28" ht="27" customHeight="1" x14ac:dyDescent="0.2">
      <c r="B1" s="172"/>
      <c r="C1" s="172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3" t="s">
        <v>40</v>
      </c>
      <c r="L1" s="173" t="s">
        <v>41</v>
      </c>
      <c r="M1" s="173" t="s">
        <v>102</v>
      </c>
      <c r="N1" s="173" t="s">
        <v>51</v>
      </c>
      <c r="O1" s="173" t="s">
        <v>52</v>
      </c>
      <c r="P1" s="173" t="s">
        <v>90</v>
      </c>
      <c r="Q1" s="173" t="s">
        <v>79</v>
      </c>
      <c r="R1" s="173" t="s">
        <v>100</v>
      </c>
      <c r="S1" s="173" t="s">
        <v>78</v>
      </c>
      <c r="T1" s="173" t="s">
        <v>406</v>
      </c>
      <c r="U1" s="173" t="s">
        <v>407</v>
      </c>
      <c r="V1" s="173" t="s">
        <v>408</v>
      </c>
      <c r="W1" s="173" t="s">
        <v>89</v>
      </c>
      <c r="X1" s="173" t="s">
        <v>74</v>
      </c>
      <c r="Y1" s="173" t="s">
        <v>75</v>
      </c>
      <c r="Z1" s="215"/>
      <c r="AB1" s="174" t="s">
        <v>61</v>
      </c>
    </row>
    <row r="2" spans="1:28" ht="15" customHeight="1" thickBot="1" x14ac:dyDescent="0.25">
      <c r="A2" s="218" t="s">
        <v>9</v>
      </c>
      <c r="B2" s="218"/>
      <c r="C2" s="218"/>
      <c r="D2" s="218"/>
      <c r="E2" s="218"/>
      <c r="F2" s="218"/>
      <c r="G2" s="218"/>
      <c r="H2" s="218"/>
      <c r="I2" s="218"/>
      <c r="J2" s="10"/>
      <c r="K2" s="175">
        <v>12</v>
      </c>
      <c r="L2" s="175">
        <v>12</v>
      </c>
      <c r="M2" s="175">
        <v>12</v>
      </c>
      <c r="N2" s="175">
        <v>12</v>
      </c>
      <c r="O2" s="175">
        <v>12</v>
      </c>
      <c r="P2" s="175">
        <v>12</v>
      </c>
      <c r="Q2" s="175">
        <v>12</v>
      </c>
      <c r="R2" s="175">
        <v>12</v>
      </c>
      <c r="S2" s="175">
        <v>12</v>
      </c>
      <c r="T2" s="175">
        <v>12</v>
      </c>
      <c r="U2" s="175">
        <v>12</v>
      </c>
      <c r="V2" s="175">
        <v>12</v>
      </c>
      <c r="W2" s="175">
        <v>12</v>
      </c>
      <c r="X2" s="175">
        <v>12</v>
      </c>
      <c r="Y2" s="175">
        <v>12</v>
      </c>
      <c r="Z2" s="216"/>
      <c r="AB2" s="174" t="str">
        <f>A2</f>
        <v>Bayern München</v>
      </c>
    </row>
    <row r="3" spans="1:28" ht="10.5" customHeight="1" x14ac:dyDescent="0.2">
      <c r="A3" s="176">
        <v>1</v>
      </c>
      <c r="B3" s="177" t="s">
        <v>58</v>
      </c>
      <c r="C3" s="177" t="s">
        <v>0</v>
      </c>
      <c r="D3" s="178" t="s">
        <v>59</v>
      </c>
      <c r="E3" s="178" t="s">
        <v>59</v>
      </c>
      <c r="F3" s="179" t="s">
        <v>59</v>
      </c>
      <c r="G3" s="179" t="s">
        <v>59</v>
      </c>
      <c r="H3" s="179"/>
      <c r="I3" s="178"/>
      <c r="J3" s="180"/>
      <c r="K3" s="181"/>
      <c r="L3" s="181"/>
      <c r="M3" s="181">
        <v>1</v>
      </c>
      <c r="N3" s="181">
        <v>1</v>
      </c>
      <c r="O3" s="181"/>
      <c r="P3" s="181"/>
      <c r="Q3" s="181"/>
      <c r="R3" s="181"/>
      <c r="S3" s="181">
        <v>1</v>
      </c>
      <c r="T3" s="181"/>
      <c r="U3" s="181"/>
      <c r="V3" s="181"/>
      <c r="W3" s="181"/>
      <c r="X3" s="181"/>
      <c r="Y3" s="181"/>
      <c r="AB3" s="174" t="str">
        <f t="shared" ref="AB3:AB11" si="0">B3</f>
        <v>Manuel Neuer</v>
      </c>
    </row>
    <row r="4" spans="1:28" ht="10.5" customHeight="1" x14ac:dyDescent="0.2">
      <c r="A4" s="176">
        <v>18</v>
      </c>
      <c r="B4" s="177" t="s">
        <v>599</v>
      </c>
      <c r="C4" s="177" t="s">
        <v>0</v>
      </c>
      <c r="D4" s="178" t="s">
        <v>59</v>
      </c>
      <c r="E4" s="178" t="s">
        <v>59</v>
      </c>
      <c r="F4" s="179" t="s">
        <v>59</v>
      </c>
      <c r="G4" s="179" t="s">
        <v>59</v>
      </c>
      <c r="H4" s="179"/>
      <c r="I4" s="178"/>
      <c r="J4" s="180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AB4" s="174" t="str">
        <f t="shared" ref="AB4:AB9" si="1">B4</f>
        <v>Daniel Peretz</v>
      </c>
    </row>
    <row r="5" spans="1:28" ht="10.5" customHeight="1" x14ac:dyDescent="0.2">
      <c r="A5" s="176">
        <v>26</v>
      </c>
      <c r="B5" s="177" t="s">
        <v>262</v>
      </c>
      <c r="C5" s="177" t="s">
        <v>0</v>
      </c>
      <c r="D5" s="178" t="s">
        <v>59</v>
      </c>
      <c r="E5" s="178" t="s">
        <v>59</v>
      </c>
      <c r="F5" s="179" t="s">
        <v>59</v>
      </c>
      <c r="G5" s="179" t="s">
        <v>59</v>
      </c>
      <c r="H5" s="179"/>
      <c r="I5" s="178"/>
      <c r="J5" s="180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AB5" s="174" t="str">
        <f t="shared" si="1"/>
        <v>Sven Ulreich</v>
      </c>
    </row>
    <row r="6" spans="1:28" ht="10.5" customHeight="1" x14ac:dyDescent="0.2">
      <c r="A6" s="176">
        <v>43</v>
      </c>
      <c r="B6" s="177" t="s">
        <v>641</v>
      </c>
      <c r="C6" s="177" t="s">
        <v>0</v>
      </c>
      <c r="D6" s="178" t="s">
        <v>59</v>
      </c>
      <c r="E6" s="178" t="s">
        <v>59</v>
      </c>
      <c r="F6" s="179" t="s">
        <v>59</v>
      </c>
      <c r="G6" s="179" t="s">
        <v>59</v>
      </c>
      <c r="H6" s="179"/>
      <c r="I6" s="178"/>
      <c r="J6" s="180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AB6" s="174" t="str">
        <f t="shared" si="1"/>
        <v>Ritzy Hülsmann</v>
      </c>
    </row>
    <row r="7" spans="1:28" ht="10.5" customHeight="1" x14ac:dyDescent="0.2">
      <c r="A7" s="176">
        <v>48</v>
      </c>
      <c r="B7" s="177" t="s">
        <v>620</v>
      </c>
      <c r="C7" s="177" t="s">
        <v>0</v>
      </c>
      <c r="D7" s="178" t="s">
        <v>59</v>
      </c>
      <c r="E7" s="178" t="s">
        <v>59</v>
      </c>
      <c r="F7" s="179" t="s">
        <v>59</v>
      </c>
      <c r="G7" s="179" t="s">
        <v>59</v>
      </c>
      <c r="H7" s="179"/>
      <c r="I7" s="178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AB7" s="174" t="str">
        <f t="shared" si="1"/>
        <v>Max Schmitt</v>
      </c>
    </row>
    <row r="8" spans="1:28" ht="10.5" customHeight="1" x14ac:dyDescent="0.2">
      <c r="A8" s="182">
        <v>2</v>
      </c>
      <c r="B8" s="183" t="s">
        <v>156</v>
      </c>
      <c r="C8" s="184" t="s">
        <v>1</v>
      </c>
      <c r="D8" s="185" t="s">
        <v>59</v>
      </c>
      <c r="E8" s="185" t="s">
        <v>59</v>
      </c>
      <c r="F8" s="186" t="s">
        <v>59</v>
      </c>
      <c r="G8" s="186" t="s">
        <v>59</v>
      </c>
      <c r="H8" s="186"/>
      <c r="I8" s="185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AB8" s="174" t="str">
        <f t="shared" si="1"/>
        <v>Dayot Upamecano (A)</v>
      </c>
    </row>
    <row r="9" spans="1:28" ht="10.5" customHeight="1" x14ac:dyDescent="0.2">
      <c r="A9" s="182">
        <v>3</v>
      </c>
      <c r="B9" s="183" t="s">
        <v>409</v>
      </c>
      <c r="C9" s="184" t="s">
        <v>1</v>
      </c>
      <c r="D9" s="185" t="s">
        <v>59</v>
      </c>
      <c r="E9" s="185" t="s">
        <v>59</v>
      </c>
      <c r="F9" s="186" t="s">
        <v>59</v>
      </c>
      <c r="G9" s="186" t="s">
        <v>59</v>
      </c>
      <c r="H9" s="186"/>
      <c r="I9" s="185"/>
      <c r="J9" s="180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AB9" s="174" t="str">
        <f t="shared" si="1"/>
        <v>Min-Jae Kim (A)</v>
      </c>
    </row>
    <row r="10" spans="1:28" ht="10.5" customHeight="1" x14ac:dyDescent="0.2">
      <c r="A10" s="182">
        <v>4</v>
      </c>
      <c r="B10" s="183" t="s">
        <v>322</v>
      </c>
      <c r="C10" s="184" t="s">
        <v>1</v>
      </c>
      <c r="D10" s="185" t="s">
        <v>59</v>
      </c>
      <c r="E10" s="185" t="s">
        <v>59</v>
      </c>
      <c r="F10" s="186" t="s">
        <v>59</v>
      </c>
      <c r="G10" s="186" t="s">
        <v>59</v>
      </c>
      <c r="H10" s="186"/>
      <c r="I10" s="185"/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AB10" s="174" t="str">
        <f t="shared" si="0"/>
        <v>Matthijs de Ligt (A)</v>
      </c>
    </row>
    <row r="11" spans="1:28" ht="10.5" customHeight="1" x14ac:dyDescent="0.2">
      <c r="A11" s="182">
        <v>15</v>
      </c>
      <c r="B11" s="183" t="s">
        <v>642</v>
      </c>
      <c r="C11" s="184" t="s">
        <v>1</v>
      </c>
      <c r="D11" s="185" t="s">
        <v>59</v>
      </c>
      <c r="E11" s="185" t="s">
        <v>59</v>
      </c>
      <c r="F11" s="186" t="s">
        <v>59</v>
      </c>
      <c r="G11" s="186" t="s">
        <v>59</v>
      </c>
      <c r="H11" s="186"/>
      <c r="I11" s="185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AB11" s="174" t="str">
        <f t="shared" si="0"/>
        <v>Eric Dier (A)</v>
      </c>
    </row>
    <row r="12" spans="1:28" ht="10.5" customHeight="1" x14ac:dyDescent="0.2">
      <c r="A12" s="182">
        <v>19</v>
      </c>
      <c r="B12" s="183" t="s">
        <v>182</v>
      </c>
      <c r="C12" s="184" t="s">
        <v>1</v>
      </c>
      <c r="D12" s="185" t="s">
        <v>59</v>
      </c>
      <c r="E12" s="185" t="s">
        <v>59</v>
      </c>
      <c r="F12" s="186" t="s">
        <v>59</v>
      </c>
      <c r="G12" s="186" t="s">
        <v>59</v>
      </c>
      <c r="H12" s="186"/>
      <c r="I12" s="185"/>
      <c r="J12" s="180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AB12" s="174" t="str">
        <f t="shared" ref="AB12" si="2">B12</f>
        <v>Alphonso Davies (A)</v>
      </c>
    </row>
    <row r="13" spans="1:28" ht="10.5" customHeight="1" x14ac:dyDescent="0.2">
      <c r="A13" s="182">
        <v>20</v>
      </c>
      <c r="B13" s="183" t="s">
        <v>249</v>
      </c>
      <c r="C13" s="184" t="s">
        <v>1</v>
      </c>
      <c r="D13" s="185" t="s">
        <v>59</v>
      </c>
      <c r="E13" s="185" t="s">
        <v>59</v>
      </c>
      <c r="F13" s="186" t="s">
        <v>59</v>
      </c>
      <c r="G13" s="186" t="s">
        <v>59</v>
      </c>
      <c r="H13" s="186"/>
      <c r="I13" s="185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AB13" s="174" t="str">
        <f t="shared" ref="AB13:AB18" si="3">B13</f>
        <v>Bouna Sarr (A)</v>
      </c>
    </row>
    <row r="14" spans="1:28" ht="10.5" customHeight="1" x14ac:dyDescent="0.2">
      <c r="A14" s="182">
        <v>22</v>
      </c>
      <c r="B14" s="183" t="s">
        <v>147</v>
      </c>
      <c r="C14" s="184" t="s">
        <v>1</v>
      </c>
      <c r="D14" s="185" t="s">
        <v>59</v>
      </c>
      <c r="E14" s="185" t="s">
        <v>59</v>
      </c>
      <c r="F14" s="186" t="s">
        <v>59</v>
      </c>
      <c r="G14" s="186" t="s">
        <v>59</v>
      </c>
      <c r="H14" s="186"/>
      <c r="I14" s="185"/>
      <c r="J14" s="180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AB14" s="174" t="str">
        <f t="shared" si="3"/>
        <v>Raphael Guerreiro (A)</v>
      </c>
    </row>
    <row r="15" spans="1:28" ht="10.5" customHeight="1" x14ac:dyDescent="0.2">
      <c r="A15" s="182">
        <v>23</v>
      </c>
      <c r="B15" s="183" t="s">
        <v>658</v>
      </c>
      <c r="C15" s="184" t="s">
        <v>1</v>
      </c>
      <c r="D15" s="185" t="s">
        <v>59</v>
      </c>
      <c r="E15" s="185" t="s">
        <v>59</v>
      </c>
      <c r="F15" s="186" t="s">
        <v>59</v>
      </c>
      <c r="G15" s="186" t="s">
        <v>59</v>
      </c>
      <c r="H15" s="186"/>
      <c r="I15" s="185"/>
      <c r="J15" s="180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AB15" s="174" t="str">
        <f t="shared" si="3"/>
        <v>Sacha Boey (A)</v>
      </c>
    </row>
    <row r="16" spans="1:28" ht="10.5" customHeight="1" x14ac:dyDescent="0.2">
      <c r="A16" s="182">
        <v>28</v>
      </c>
      <c r="B16" s="183" t="s">
        <v>410</v>
      </c>
      <c r="C16" s="184" t="s">
        <v>1</v>
      </c>
      <c r="D16" s="185" t="s">
        <v>59</v>
      </c>
      <c r="E16" s="185" t="s">
        <v>59</v>
      </c>
      <c r="F16" s="186" t="s">
        <v>59</v>
      </c>
      <c r="G16" s="186" t="s">
        <v>59</v>
      </c>
      <c r="H16" s="186"/>
      <c r="I16" s="185"/>
      <c r="J16" s="180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AB16" s="174" t="str">
        <f t="shared" ref="AB16" si="4">B16</f>
        <v>Tarek Buchmann</v>
      </c>
    </row>
    <row r="17" spans="1:28" ht="10.5" customHeight="1" x14ac:dyDescent="0.2">
      <c r="A17" s="182">
        <v>40</v>
      </c>
      <c r="B17" s="183" t="s">
        <v>323</v>
      </c>
      <c r="C17" s="184" t="s">
        <v>1</v>
      </c>
      <c r="D17" s="185" t="s">
        <v>59</v>
      </c>
      <c r="E17" s="185" t="s">
        <v>59</v>
      </c>
      <c r="F17" s="186" t="s">
        <v>59</v>
      </c>
      <c r="G17" s="186" t="s">
        <v>59</v>
      </c>
      <c r="H17" s="186"/>
      <c r="I17" s="185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AB17" s="174" t="str">
        <f t="shared" si="3"/>
        <v>Noussair Mazraoui (A)</v>
      </c>
    </row>
    <row r="18" spans="1:28" ht="10.5" customHeight="1" x14ac:dyDescent="0.2">
      <c r="A18" s="182">
        <v>44</v>
      </c>
      <c r="B18" s="183" t="s">
        <v>659</v>
      </c>
      <c r="C18" s="184" t="s">
        <v>1</v>
      </c>
      <c r="D18" s="185" t="s">
        <v>59</v>
      </c>
      <c r="E18" s="185" t="s">
        <v>59</v>
      </c>
      <c r="F18" s="186" t="s">
        <v>59</v>
      </c>
      <c r="G18" s="186" t="s">
        <v>59</v>
      </c>
      <c r="H18" s="186"/>
      <c r="I18" s="185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AB18" s="174" t="str">
        <f t="shared" si="3"/>
        <v>Adam Aznou (A)</v>
      </c>
    </row>
    <row r="19" spans="1:28" s="113" customFormat="1" ht="10.5" customHeight="1" x14ac:dyDescent="0.2">
      <c r="A19" s="187">
        <v>6</v>
      </c>
      <c r="B19" s="188" t="s">
        <v>123</v>
      </c>
      <c r="C19" s="189" t="s">
        <v>2</v>
      </c>
      <c r="D19" s="190" t="s">
        <v>59</v>
      </c>
      <c r="E19" s="190" t="s">
        <v>59</v>
      </c>
      <c r="F19" s="191" t="s">
        <v>59</v>
      </c>
      <c r="G19" s="191" t="s">
        <v>59</v>
      </c>
      <c r="H19" s="191"/>
      <c r="I19" s="190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71"/>
      <c r="AB19" s="174" t="str">
        <f>B19</f>
        <v>Joshua Kimmich</v>
      </c>
    </row>
    <row r="20" spans="1:28" s="113" customFormat="1" ht="10.5" customHeight="1" x14ac:dyDescent="0.2">
      <c r="A20" s="187">
        <v>8</v>
      </c>
      <c r="B20" s="188" t="s">
        <v>116</v>
      </c>
      <c r="C20" s="189" t="s">
        <v>2</v>
      </c>
      <c r="D20" s="190" t="s">
        <v>59</v>
      </c>
      <c r="E20" s="190" t="s">
        <v>59</v>
      </c>
      <c r="F20" s="191" t="s">
        <v>59</v>
      </c>
      <c r="G20" s="191" t="s">
        <v>59</v>
      </c>
      <c r="H20" s="191"/>
      <c r="I20" s="190"/>
      <c r="J20" s="180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71"/>
      <c r="AB20" s="174" t="str">
        <f>B20</f>
        <v>Leon Goretzka</v>
      </c>
    </row>
    <row r="21" spans="1:28" s="113" customFormat="1" ht="10.5" customHeight="1" x14ac:dyDescent="0.2">
      <c r="A21" s="187">
        <v>27</v>
      </c>
      <c r="B21" s="188" t="s">
        <v>157</v>
      </c>
      <c r="C21" s="189" t="s">
        <v>2</v>
      </c>
      <c r="D21" s="190" t="s">
        <v>59</v>
      </c>
      <c r="E21" s="190" t="s">
        <v>59</v>
      </c>
      <c r="F21" s="191" t="s">
        <v>59</v>
      </c>
      <c r="G21" s="191" t="s">
        <v>59</v>
      </c>
      <c r="H21" s="191"/>
      <c r="I21" s="190"/>
      <c r="J21" s="180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71"/>
      <c r="AB21" s="174" t="str">
        <f t="shared" ref="AB21:AB23" si="5">B21</f>
        <v>Konrad Laimer (A)</v>
      </c>
    </row>
    <row r="22" spans="1:28" s="113" customFormat="1" ht="10.5" customHeight="1" x14ac:dyDescent="0.2">
      <c r="A22" s="187">
        <v>34</v>
      </c>
      <c r="B22" s="188" t="s">
        <v>622</v>
      </c>
      <c r="C22" s="189" t="s">
        <v>2</v>
      </c>
      <c r="D22" s="190" t="s">
        <v>59</v>
      </c>
      <c r="E22" s="190" t="s">
        <v>59</v>
      </c>
      <c r="F22" s="191" t="s">
        <v>59</v>
      </c>
      <c r="G22" s="191" t="s">
        <v>59</v>
      </c>
      <c r="H22" s="191"/>
      <c r="I22" s="190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71"/>
      <c r="AB22" s="174" t="str">
        <f t="shared" si="5"/>
        <v>Lovro Zvonarek (A)</v>
      </c>
    </row>
    <row r="23" spans="1:28" s="113" customFormat="1" ht="10.5" customHeight="1" x14ac:dyDescent="0.2">
      <c r="A23" s="187">
        <v>36</v>
      </c>
      <c r="B23" s="188" t="s">
        <v>623</v>
      </c>
      <c r="C23" s="189" t="s">
        <v>2</v>
      </c>
      <c r="D23" s="190" t="s">
        <v>59</v>
      </c>
      <c r="E23" s="190" t="s">
        <v>59</v>
      </c>
      <c r="F23" s="191" t="s">
        <v>59</v>
      </c>
      <c r="G23" s="191" t="s">
        <v>59</v>
      </c>
      <c r="H23" s="191"/>
      <c r="I23" s="190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71"/>
      <c r="AB23" s="174" t="str">
        <f t="shared" si="5"/>
        <v>Noel Aeko Nkili</v>
      </c>
    </row>
    <row r="24" spans="1:28" s="113" customFormat="1" ht="10.5" customHeight="1" x14ac:dyDescent="0.2">
      <c r="A24" s="187">
        <v>37</v>
      </c>
      <c r="B24" s="188" t="s">
        <v>621</v>
      </c>
      <c r="C24" s="189" t="s">
        <v>2</v>
      </c>
      <c r="D24" s="190" t="s">
        <v>59</v>
      </c>
      <c r="E24" s="190" t="s">
        <v>59</v>
      </c>
      <c r="F24" s="191" t="s">
        <v>59</v>
      </c>
      <c r="G24" s="191" t="s">
        <v>59</v>
      </c>
      <c r="H24" s="191"/>
      <c r="I24" s="190"/>
      <c r="J24" s="180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71"/>
      <c r="AB24" s="174" t="str">
        <f t="shared" ref="AB24" si="6">B24</f>
        <v>Luca Denk</v>
      </c>
    </row>
    <row r="25" spans="1:28" s="113" customFormat="1" ht="10.5" customHeight="1" x14ac:dyDescent="0.2">
      <c r="A25" s="187">
        <v>42</v>
      </c>
      <c r="B25" s="188" t="s">
        <v>248</v>
      </c>
      <c r="C25" s="189" t="s">
        <v>2</v>
      </c>
      <c r="D25" s="190" t="s">
        <v>59</v>
      </c>
      <c r="E25" s="190" t="s">
        <v>59</v>
      </c>
      <c r="F25" s="191" t="s">
        <v>59</v>
      </c>
      <c r="G25" s="191" t="s">
        <v>59</v>
      </c>
      <c r="H25" s="191"/>
      <c r="I25" s="190"/>
      <c r="J25" s="180"/>
      <c r="K25" s="181">
        <v>8</v>
      </c>
      <c r="L25" s="181">
        <v>8</v>
      </c>
      <c r="M25" s="181"/>
      <c r="N25" s="181"/>
      <c r="O25" s="181"/>
      <c r="P25" s="181">
        <v>7</v>
      </c>
      <c r="Q25" s="181">
        <v>6</v>
      </c>
      <c r="R25" s="181"/>
      <c r="S25" s="181"/>
      <c r="T25" s="181"/>
      <c r="U25" s="181"/>
      <c r="V25" s="181"/>
      <c r="W25" s="181"/>
      <c r="X25" s="181"/>
      <c r="Y25" s="181"/>
      <c r="Z25" s="171"/>
      <c r="AB25" s="174" t="str">
        <f t="shared" ref="AB25:AB26" si="7">B25</f>
        <v>Jamal Musiala</v>
      </c>
    </row>
    <row r="26" spans="1:28" s="113" customFormat="1" ht="10.5" customHeight="1" x14ac:dyDescent="0.2">
      <c r="A26" s="187">
        <v>45</v>
      </c>
      <c r="B26" s="188" t="s">
        <v>559</v>
      </c>
      <c r="C26" s="189" t="s">
        <v>2</v>
      </c>
      <c r="D26" s="190" t="s">
        <v>59</v>
      </c>
      <c r="E26" s="190" t="s">
        <v>59</v>
      </c>
      <c r="F26" s="191" t="s">
        <v>59</v>
      </c>
      <c r="G26" s="191" t="s">
        <v>59</v>
      </c>
      <c r="H26" s="191"/>
      <c r="I26" s="190"/>
      <c r="J26" s="180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71"/>
      <c r="AB26" s="174" t="str">
        <f t="shared" si="7"/>
        <v>Aleksandar Pavlovic</v>
      </c>
    </row>
    <row r="27" spans="1:28" s="113" customFormat="1" ht="10.5" customHeight="1" x14ac:dyDescent="0.2">
      <c r="A27" s="192">
        <v>7</v>
      </c>
      <c r="B27" s="193" t="s">
        <v>160</v>
      </c>
      <c r="C27" s="194" t="s">
        <v>3</v>
      </c>
      <c r="D27" s="195" t="s">
        <v>59</v>
      </c>
      <c r="E27" s="195" t="s">
        <v>59</v>
      </c>
      <c r="F27" s="196" t="s">
        <v>59</v>
      </c>
      <c r="G27" s="196" t="s">
        <v>59</v>
      </c>
      <c r="H27" s="196"/>
      <c r="I27" s="195"/>
      <c r="J27" s="180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71"/>
      <c r="AB27" s="174" t="str">
        <f>B27</f>
        <v>Serge Gnabry</v>
      </c>
    </row>
    <row r="28" spans="1:28" s="113" customFormat="1" ht="10.5" customHeight="1" x14ac:dyDescent="0.2">
      <c r="A28" s="192">
        <v>9</v>
      </c>
      <c r="B28" s="193" t="s">
        <v>541</v>
      </c>
      <c r="C28" s="194" t="s">
        <v>3</v>
      </c>
      <c r="D28" s="195" t="s">
        <v>59</v>
      </c>
      <c r="E28" s="195" t="s">
        <v>59</v>
      </c>
      <c r="F28" s="196" t="s">
        <v>59</v>
      </c>
      <c r="G28" s="196" t="s">
        <v>59</v>
      </c>
      <c r="H28" s="196"/>
      <c r="I28" s="195"/>
      <c r="J28" s="180"/>
      <c r="K28" s="181">
        <v>9</v>
      </c>
      <c r="L28" s="181">
        <v>9</v>
      </c>
      <c r="M28" s="181">
        <v>9</v>
      </c>
      <c r="N28" s="181">
        <v>9</v>
      </c>
      <c r="O28" s="181">
        <v>10</v>
      </c>
      <c r="P28" s="181">
        <v>10</v>
      </c>
      <c r="Q28" s="181">
        <v>10</v>
      </c>
      <c r="R28" s="181">
        <v>10</v>
      </c>
      <c r="S28" s="181">
        <v>9</v>
      </c>
      <c r="T28" s="181"/>
      <c r="U28" s="181"/>
      <c r="V28" s="181"/>
      <c r="W28" s="181"/>
      <c r="X28" s="181"/>
      <c r="Y28" s="181"/>
      <c r="Z28" s="171"/>
      <c r="AB28" s="174" t="str">
        <f>B28</f>
        <v>Harry Kane (A)</v>
      </c>
    </row>
    <row r="29" spans="1:28" s="113" customFormat="1" ht="10.5" customHeight="1" x14ac:dyDescent="0.2">
      <c r="A29" s="192">
        <v>10</v>
      </c>
      <c r="B29" s="193" t="s">
        <v>564</v>
      </c>
      <c r="C29" s="194" t="s">
        <v>3</v>
      </c>
      <c r="D29" s="195" t="s">
        <v>59</v>
      </c>
      <c r="E29" s="195" t="s">
        <v>59</v>
      </c>
      <c r="F29" s="196" t="s">
        <v>59</v>
      </c>
      <c r="G29" s="196" t="s">
        <v>59</v>
      </c>
      <c r="H29" s="196"/>
      <c r="I29" s="195"/>
      <c r="J29" s="180"/>
      <c r="K29" s="181"/>
      <c r="L29" s="181"/>
      <c r="M29" s="181"/>
      <c r="N29" s="181"/>
      <c r="O29" s="181"/>
      <c r="P29" s="181"/>
      <c r="Q29" s="181"/>
      <c r="R29" s="181">
        <v>11</v>
      </c>
      <c r="S29" s="181"/>
      <c r="T29" s="181"/>
      <c r="U29" s="181"/>
      <c r="V29" s="181"/>
      <c r="W29" s="181"/>
      <c r="X29" s="181"/>
      <c r="Y29" s="181"/>
      <c r="Z29" s="171"/>
      <c r="AB29" s="174" t="str">
        <f>B29</f>
        <v>Leroy Sané</v>
      </c>
    </row>
    <row r="30" spans="1:28" s="113" customFormat="1" ht="10.5" customHeight="1" x14ac:dyDescent="0.2">
      <c r="A30" s="192">
        <v>11</v>
      </c>
      <c r="B30" s="193" t="s">
        <v>138</v>
      </c>
      <c r="C30" s="194" t="s">
        <v>3</v>
      </c>
      <c r="D30" s="195" t="s">
        <v>59</v>
      </c>
      <c r="E30" s="195" t="s">
        <v>59</v>
      </c>
      <c r="F30" s="196" t="s">
        <v>59</v>
      </c>
      <c r="G30" s="196" t="s">
        <v>59</v>
      </c>
      <c r="H30" s="196"/>
      <c r="I30" s="195"/>
      <c r="J30" s="18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71"/>
      <c r="AB30" s="174" t="str">
        <f t="shared" ref="AB30:AB31" si="8">B30</f>
        <v>Kingsley Coman (A)</v>
      </c>
    </row>
    <row r="31" spans="1:28" s="113" customFormat="1" ht="10.5" customHeight="1" x14ac:dyDescent="0.2">
      <c r="A31" s="192">
        <v>13</v>
      </c>
      <c r="B31" s="193" t="s">
        <v>250</v>
      </c>
      <c r="C31" s="194" t="s">
        <v>3</v>
      </c>
      <c r="D31" s="195" t="s">
        <v>59</v>
      </c>
      <c r="E31" s="195" t="s">
        <v>59</v>
      </c>
      <c r="F31" s="196" t="s">
        <v>59</v>
      </c>
      <c r="G31" s="196" t="s">
        <v>59</v>
      </c>
      <c r="H31" s="196"/>
      <c r="I31" s="195"/>
      <c r="J31" s="180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71"/>
      <c r="AB31" s="174" t="str">
        <f t="shared" si="8"/>
        <v>Eric-Maxim Choupo-Moting</v>
      </c>
    </row>
    <row r="32" spans="1:28" s="113" customFormat="1" ht="10.5" customHeight="1" x14ac:dyDescent="0.2">
      <c r="A32" s="192">
        <v>17</v>
      </c>
      <c r="B32" s="193" t="s">
        <v>664</v>
      </c>
      <c r="C32" s="194" t="s">
        <v>3</v>
      </c>
      <c r="D32" s="195" t="s">
        <v>59</v>
      </c>
      <c r="E32" s="195" t="s">
        <v>59</v>
      </c>
      <c r="F32" s="196" t="s">
        <v>59</v>
      </c>
      <c r="G32" s="196" t="s">
        <v>59</v>
      </c>
      <c r="H32" s="196"/>
      <c r="I32" s="195"/>
      <c r="J32" s="180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71"/>
      <c r="AB32" s="174" t="str">
        <f>B32</f>
        <v>Bryan Zaragoza (A)</v>
      </c>
    </row>
    <row r="33" spans="1:28" s="113" customFormat="1" ht="10.5" customHeight="1" x14ac:dyDescent="0.2">
      <c r="A33" s="192">
        <v>25</v>
      </c>
      <c r="B33" s="193" t="s">
        <v>80</v>
      </c>
      <c r="C33" s="194" t="s">
        <v>3</v>
      </c>
      <c r="D33" s="195" t="s">
        <v>59</v>
      </c>
      <c r="E33" s="195" t="s">
        <v>59</v>
      </c>
      <c r="F33" s="196" t="s">
        <v>59</v>
      </c>
      <c r="G33" s="196" t="s">
        <v>59</v>
      </c>
      <c r="H33" s="196"/>
      <c r="I33" s="195"/>
      <c r="J33" s="180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71"/>
      <c r="AB33" s="174" t="str">
        <f>B33</f>
        <v>Thomas Müller</v>
      </c>
    </row>
    <row r="34" spans="1:28" s="113" customFormat="1" ht="10.5" customHeight="1" x14ac:dyDescent="0.2">
      <c r="A34" s="192">
        <v>39</v>
      </c>
      <c r="B34" s="193" t="s">
        <v>324</v>
      </c>
      <c r="C34" s="194" t="s">
        <v>3</v>
      </c>
      <c r="D34" s="195" t="s">
        <v>59</v>
      </c>
      <c r="E34" s="195" t="s">
        <v>59</v>
      </c>
      <c r="F34" s="196" t="s">
        <v>59</v>
      </c>
      <c r="G34" s="196" t="s">
        <v>59</v>
      </c>
      <c r="H34" s="196"/>
      <c r="I34" s="195"/>
      <c r="J34" s="180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71"/>
      <c r="AB34" s="174" t="str">
        <f t="shared" ref="AB34" si="9">B34</f>
        <v>Mathys Tel (A)</v>
      </c>
    </row>
    <row r="35" spans="1:28" ht="15" customHeight="1" thickBot="1" x14ac:dyDescent="0.25">
      <c r="A35" s="218" t="s">
        <v>32</v>
      </c>
      <c r="B35" s="218"/>
      <c r="C35" s="218"/>
      <c r="D35" s="218"/>
      <c r="E35" s="218"/>
      <c r="F35" s="218"/>
      <c r="G35" s="218"/>
      <c r="H35" s="218"/>
      <c r="I35" s="218"/>
      <c r="J35" s="10"/>
      <c r="K35" s="175">
        <v>12</v>
      </c>
      <c r="L35" s="175">
        <v>12</v>
      </c>
      <c r="M35" s="175">
        <v>12</v>
      </c>
      <c r="N35" s="175">
        <v>12</v>
      </c>
      <c r="O35" s="175">
        <v>12</v>
      </c>
      <c r="P35" s="175">
        <v>12</v>
      </c>
      <c r="Q35" s="175">
        <v>12</v>
      </c>
      <c r="R35" s="175">
        <v>12</v>
      </c>
      <c r="S35" s="175">
        <v>12</v>
      </c>
      <c r="T35" s="175">
        <v>12</v>
      </c>
      <c r="U35" s="175">
        <v>12</v>
      </c>
      <c r="V35" s="175">
        <v>12</v>
      </c>
      <c r="W35" s="175">
        <v>12</v>
      </c>
      <c r="X35" s="175">
        <v>12</v>
      </c>
      <c r="Y35" s="175">
        <v>12</v>
      </c>
      <c r="Z35" s="216"/>
      <c r="AB35" s="174" t="str">
        <f>A35</f>
        <v>Borussia Dortmund</v>
      </c>
    </row>
    <row r="36" spans="1:28" s="113" customFormat="1" ht="10.5" customHeight="1" x14ac:dyDescent="0.2">
      <c r="A36" s="176">
        <v>1</v>
      </c>
      <c r="B36" s="177" t="s">
        <v>238</v>
      </c>
      <c r="C36" s="177" t="s">
        <v>0</v>
      </c>
      <c r="D36" s="178" t="s">
        <v>59</v>
      </c>
      <c r="E36" s="178" t="s">
        <v>59</v>
      </c>
      <c r="F36" s="179" t="s">
        <v>59</v>
      </c>
      <c r="G36" s="179" t="s">
        <v>59</v>
      </c>
      <c r="H36" s="179"/>
      <c r="I36" s="178"/>
      <c r="J36" s="180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71"/>
      <c r="AB36" s="174" t="str">
        <f t="shared" ref="AB36:AB37" si="10">B36</f>
        <v>Gregor Kobel (A)</v>
      </c>
    </row>
    <row r="37" spans="1:28" s="113" customFormat="1" ht="10.5" customHeight="1" x14ac:dyDescent="0.2">
      <c r="A37" s="176">
        <v>31</v>
      </c>
      <c r="B37" s="177" t="s">
        <v>384</v>
      </c>
      <c r="C37" s="177" t="s">
        <v>0</v>
      </c>
      <c r="D37" s="178" t="s">
        <v>59</v>
      </c>
      <c r="E37" s="178" t="s">
        <v>59</v>
      </c>
      <c r="F37" s="179" t="s">
        <v>59</v>
      </c>
      <c r="G37" s="179" t="s">
        <v>59</v>
      </c>
      <c r="H37" s="179"/>
      <c r="I37" s="178"/>
      <c r="J37" s="180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71"/>
      <c r="AB37" s="174" t="str">
        <f t="shared" si="10"/>
        <v>Silas Ostrzinski</v>
      </c>
    </row>
    <row r="38" spans="1:28" s="113" customFormat="1" ht="10.5" customHeight="1" x14ac:dyDescent="0.2">
      <c r="A38" s="176">
        <v>33</v>
      </c>
      <c r="B38" s="177" t="s">
        <v>325</v>
      </c>
      <c r="C38" s="177" t="s">
        <v>0</v>
      </c>
      <c r="D38" s="178" t="s">
        <v>59</v>
      </c>
      <c r="E38" s="178" t="s">
        <v>59</v>
      </c>
      <c r="F38" s="179" t="s">
        <v>59</v>
      </c>
      <c r="G38" s="179" t="s">
        <v>59</v>
      </c>
      <c r="H38" s="179"/>
      <c r="I38" s="178"/>
      <c r="J38" s="180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71"/>
      <c r="AB38" s="174" t="str">
        <f t="shared" ref="AB38" si="11">B38</f>
        <v>Alexander Meyer</v>
      </c>
    </row>
    <row r="39" spans="1:28" s="113" customFormat="1" ht="10.5" customHeight="1" x14ac:dyDescent="0.2">
      <c r="A39" s="176">
        <v>35</v>
      </c>
      <c r="B39" s="177" t="s">
        <v>317</v>
      </c>
      <c r="C39" s="177" t="s">
        <v>0</v>
      </c>
      <c r="D39" s="178" t="s">
        <v>59</v>
      </c>
      <c r="E39" s="178" t="s">
        <v>59</v>
      </c>
      <c r="F39" s="179" t="s">
        <v>59</v>
      </c>
      <c r="G39" s="179" t="s">
        <v>59</v>
      </c>
      <c r="H39" s="179"/>
      <c r="I39" s="178"/>
      <c r="J39" s="180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71"/>
      <c r="AB39" s="174" t="str">
        <f t="shared" ref="AB39" si="12">B39</f>
        <v>Marcel Lotka</v>
      </c>
    </row>
    <row r="40" spans="1:28" s="113" customFormat="1" ht="10.5" customHeight="1" x14ac:dyDescent="0.2">
      <c r="A40" s="197">
        <v>2</v>
      </c>
      <c r="B40" s="198" t="s">
        <v>183</v>
      </c>
      <c r="C40" s="184" t="s">
        <v>1</v>
      </c>
      <c r="D40" s="185" t="s">
        <v>59</v>
      </c>
      <c r="E40" s="185" t="s">
        <v>59</v>
      </c>
      <c r="F40" s="186" t="s">
        <v>59</v>
      </c>
      <c r="G40" s="186" t="s">
        <v>59</v>
      </c>
      <c r="H40" s="186"/>
      <c r="I40" s="185"/>
      <c r="J40" s="180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71"/>
      <c r="AB40" s="174" t="str">
        <f>B40</f>
        <v>Mateu Morey (A)</v>
      </c>
    </row>
    <row r="41" spans="1:28" s="113" customFormat="1" ht="10.5" customHeight="1" x14ac:dyDescent="0.2">
      <c r="A41" s="197">
        <v>4</v>
      </c>
      <c r="B41" s="198" t="s">
        <v>197</v>
      </c>
      <c r="C41" s="184" t="s">
        <v>1</v>
      </c>
      <c r="D41" s="185" t="s">
        <v>59</v>
      </c>
      <c r="E41" s="185" t="s">
        <v>59</v>
      </c>
      <c r="F41" s="186" t="s">
        <v>59</v>
      </c>
      <c r="G41" s="186" t="s">
        <v>59</v>
      </c>
      <c r="H41" s="186"/>
      <c r="I41" s="185"/>
      <c r="J41" s="180"/>
      <c r="K41" s="181">
        <v>2</v>
      </c>
      <c r="L41" s="181">
        <v>3</v>
      </c>
      <c r="M41" s="181">
        <v>3</v>
      </c>
      <c r="N41" s="181">
        <v>2</v>
      </c>
      <c r="O41" s="181"/>
      <c r="P41" s="181">
        <v>3</v>
      </c>
      <c r="Q41" s="181">
        <v>4</v>
      </c>
      <c r="R41" s="181"/>
      <c r="S41" s="181"/>
      <c r="T41" s="181"/>
      <c r="U41" s="181"/>
      <c r="V41" s="181"/>
      <c r="W41" s="181"/>
      <c r="X41" s="181"/>
      <c r="Y41" s="181"/>
      <c r="Z41" s="171"/>
      <c r="AB41" s="174" t="str">
        <f t="shared" ref="AB41:AB49" si="13">B41</f>
        <v>Nico Schlotterbeck</v>
      </c>
    </row>
    <row r="42" spans="1:28" s="113" customFormat="1" ht="10.5" customHeight="1" x14ac:dyDescent="0.2">
      <c r="A42" s="197">
        <v>5</v>
      </c>
      <c r="B42" s="198" t="s">
        <v>213</v>
      </c>
      <c r="C42" s="184" t="s">
        <v>1</v>
      </c>
      <c r="D42" s="185" t="s">
        <v>59</v>
      </c>
      <c r="E42" s="185" t="s">
        <v>59</v>
      </c>
      <c r="F42" s="186" t="s">
        <v>59</v>
      </c>
      <c r="G42" s="186" t="s">
        <v>59</v>
      </c>
      <c r="H42" s="186"/>
      <c r="I42" s="185"/>
      <c r="J42" s="180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71"/>
      <c r="AB42" s="174" t="str">
        <f t="shared" si="13"/>
        <v>Ramy Bensebaini (A)</v>
      </c>
    </row>
    <row r="43" spans="1:28" s="113" customFormat="1" ht="10.5" customHeight="1" x14ac:dyDescent="0.2">
      <c r="A43" s="197">
        <v>15</v>
      </c>
      <c r="B43" s="198" t="s">
        <v>60</v>
      </c>
      <c r="C43" s="184" t="s">
        <v>1</v>
      </c>
      <c r="D43" s="185" t="s">
        <v>59</v>
      </c>
      <c r="E43" s="185" t="s">
        <v>59</v>
      </c>
      <c r="F43" s="186" t="s">
        <v>59</v>
      </c>
      <c r="G43" s="186" t="s">
        <v>59</v>
      </c>
      <c r="H43" s="186"/>
      <c r="I43" s="185"/>
      <c r="J43" s="180"/>
      <c r="K43" s="181"/>
      <c r="L43" s="181"/>
      <c r="M43" s="181">
        <v>2</v>
      </c>
      <c r="N43" s="181"/>
      <c r="O43" s="181"/>
      <c r="P43" s="181"/>
      <c r="Q43" s="181"/>
      <c r="R43" s="181">
        <v>4</v>
      </c>
      <c r="S43" s="181"/>
      <c r="T43" s="181"/>
      <c r="U43" s="181"/>
      <c r="V43" s="181"/>
      <c r="W43" s="181"/>
      <c r="X43" s="181"/>
      <c r="Y43" s="181"/>
      <c r="Z43" s="171"/>
      <c r="AB43" s="174" t="str">
        <f t="shared" si="13"/>
        <v>Mats Hummels</v>
      </c>
    </row>
    <row r="44" spans="1:28" s="113" customFormat="1" ht="10.5" customHeight="1" x14ac:dyDescent="0.2">
      <c r="A44" s="197">
        <v>17</v>
      </c>
      <c r="B44" s="198" t="s">
        <v>246</v>
      </c>
      <c r="C44" s="184" t="s">
        <v>1</v>
      </c>
      <c r="D44" s="185" t="s">
        <v>59</v>
      </c>
      <c r="E44" s="185" t="s">
        <v>59</v>
      </c>
      <c r="F44" s="186" t="s">
        <v>59</v>
      </c>
      <c r="G44" s="186" t="s">
        <v>59</v>
      </c>
      <c r="H44" s="186"/>
      <c r="I44" s="185"/>
      <c r="J44" s="180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71"/>
      <c r="AB44" s="174" t="str">
        <f t="shared" ref="AB44:AB45" si="14">B44</f>
        <v>Marius Wolf</v>
      </c>
    </row>
    <row r="45" spans="1:28" s="113" customFormat="1" ht="10.5" customHeight="1" x14ac:dyDescent="0.2">
      <c r="A45" s="197">
        <v>22</v>
      </c>
      <c r="B45" s="198" t="s">
        <v>643</v>
      </c>
      <c r="C45" s="184" t="s">
        <v>1</v>
      </c>
      <c r="D45" s="185" t="s">
        <v>59</v>
      </c>
      <c r="E45" s="185" t="s">
        <v>59</v>
      </c>
      <c r="F45" s="186" t="s">
        <v>59</v>
      </c>
      <c r="G45" s="186" t="s">
        <v>59</v>
      </c>
      <c r="H45" s="186"/>
      <c r="I45" s="185"/>
      <c r="J45" s="180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71"/>
      <c r="AB45" s="174" t="str">
        <f t="shared" si="14"/>
        <v>Ian Maatsen (A)</v>
      </c>
    </row>
    <row r="46" spans="1:28" s="113" customFormat="1" ht="10.5" customHeight="1" x14ac:dyDescent="0.2">
      <c r="A46" s="197">
        <v>25</v>
      </c>
      <c r="B46" s="198" t="s">
        <v>118</v>
      </c>
      <c r="C46" s="184" t="s">
        <v>1</v>
      </c>
      <c r="D46" s="185" t="s">
        <v>59</v>
      </c>
      <c r="E46" s="185" t="s">
        <v>59</v>
      </c>
      <c r="F46" s="186" t="s">
        <v>59</v>
      </c>
      <c r="G46" s="186" t="s">
        <v>59</v>
      </c>
      <c r="H46" s="186"/>
      <c r="I46" s="185"/>
      <c r="J46" s="180"/>
      <c r="K46" s="181"/>
      <c r="L46" s="181"/>
      <c r="M46" s="181"/>
      <c r="N46" s="181"/>
      <c r="O46" s="181">
        <v>3</v>
      </c>
      <c r="P46" s="181"/>
      <c r="Q46" s="181">
        <v>3</v>
      </c>
      <c r="R46" s="181">
        <v>3</v>
      </c>
      <c r="S46" s="181"/>
      <c r="T46" s="181"/>
      <c r="U46" s="181"/>
      <c r="V46" s="181"/>
      <c r="W46" s="181"/>
      <c r="X46" s="181"/>
      <c r="Y46" s="181"/>
      <c r="Z46" s="171"/>
      <c r="AB46" s="174" t="str">
        <f t="shared" si="13"/>
        <v>Niklas Süle</v>
      </c>
    </row>
    <row r="47" spans="1:28" s="113" customFormat="1" ht="10.5" customHeight="1" x14ac:dyDescent="0.2">
      <c r="A47" s="197">
        <v>26</v>
      </c>
      <c r="B47" s="198" t="s">
        <v>210</v>
      </c>
      <c r="C47" s="184" t="s">
        <v>1</v>
      </c>
      <c r="D47" s="185" t="s">
        <v>59</v>
      </c>
      <c r="E47" s="185" t="s">
        <v>59</v>
      </c>
      <c r="F47" s="186" t="s">
        <v>59</v>
      </c>
      <c r="G47" s="186" t="s">
        <v>59</v>
      </c>
      <c r="H47" s="186"/>
      <c r="I47" s="185"/>
      <c r="J47" s="180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71"/>
      <c r="AB47" s="174" t="str">
        <f t="shared" si="13"/>
        <v>Julian Ryerson (A)</v>
      </c>
    </row>
    <row r="48" spans="1:28" s="113" customFormat="1" ht="10.5" customHeight="1" x14ac:dyDescent="0.2">
      <c r="A48" s="197">
        <v>44</v>
      </c>
      <c r="B48" s="198" t="s">
        <v>264</v>
      </c>
      <c r="C48" s="184" t="s">
        <v>1</v>
      </c>
      <c r="D48" s="185" t="s">
        <v>59</v>
      </c>
      <c r="E48" s="185" t="s">
        <v>59</v>
      </c>
      <c r="F48" s="186" t="s">
        <v>59</v>
      </c>
      <c r="G48" s="186" t="s">
        <v>59</v>
      </c>
      <c r="H48" s="186"/>
      <c r="I48" s="185"/>
      <c r="J48" s="180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71"/>
      <c r="AB48" s="174" t="str">
        <f t="shared" si="13"/>
        <v>Soumalia Coulibaly (A)</v>
      </c>
    </row>
    <row r="49" spans="1:28" s="113" customFormat="1" ht="10.5" customHeight="1" x14ac:dyDescent="0.2">
      <c r="A49" s="197">
        <v>45</v>
      </c>
      <c r="B49" s="198" t="s">
        <v>624</v>
      </c>
      <c r="C49" s="184" t="s">
        <v>1</v>
      </c>
      <c r="D49" s="185" t="s">
        <v>59</v>
      </c>
      <c r="E49" s="185" t="s">
        <v>59</v>
      </c>
      <c r="F49" s="186" t="s">
        <v>59</v>
      </c>
      <c r="G49" s="186" t="s">
        <v>59</v>
      </c>
      <c r="H49" s="186"/>
      <c r="I49" s="185"/>
      <c r="J49" s="180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71"/>
      <c r="AB49" s="174" t="str">
        <f t="shared" si="13"/>
        <v>Guille Bueno (A)</v>
      </c>
    </row>
    <row r="50" spans="1:28" s="113" customFormat="1" ht="10.5" customHeight="1" x14ac:dyDescent="0.2">
      <c r="A50" s="197">
        <v>47</v>
      </c>
      <c r="B50" s="198" t="s">
        <v>381</v>
      </c>
      <c r="C50" s="184" t="s">
        <v>1</v>
      </c>
      <c r="D50" s="185" t="s">
        <v>59</v>
      </c>
      <c r="E50" s="185" t="s">
        <v>59</v>
      </c>
      <c r="F50" s="186" t="s">
        <v>59</v>
      </c>
      <c r="G50" s="186" t="s">
        <v>59</v>
      </c>
      <c r="H50" s="186"/>
      <c r="I50" s="185"/>
      <c r="J50" s="180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71"/>
      <c r="AB50" s="174" t="str">
        <f t="shared" ref="AB50" si="15">B50</f>
        <v>Antonis Papadopoulos</v>
      </c>
    </row>
    <row r="51" spans="1:28" s="113" customFormat="1" ht="10.5" customHeight="1" x14ac:dyDescent="0.2">
      <c r="A51" s="199">
        <v>6</v>
      </c>
      <c r="B51" s="189" t="s">
        <v>293</v>
      </c>
      <c r="C51" s="189" t="s">
        <v>2</v>
      </c>
      <c r="D51" s="190" t="s">
        <v>59</v>
      </c>
      <c r="E51" s="190" t="s">
        <v>59</v>
      </c>
      <c r="F51" s="191" t="s">
        <v>59</v>
      </c>
      <c r="G51" s="191" t="s">
        <v>59</v>
      </c>
      <c r="H51" s="191"/>
      <c r="I51" s="190"/>
      <c r="J51" s="180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71"/>
      <c r="AB51" s="174" t="str">
        <f t="shared" ref="AB51:AB61" si="16">B51</f>
        <v>Salih Özcan</v>
      </c>
    </row>
    <row r="52" spans="1:28" s="113" customFormat="1" ht="10.5" customHeight="1" x14ac:dyDescent="0.2">
      <c r="A52" s="199">
        <v>8</v>
      </c>
      <c r="B52" s="189" t="s">
        <v>268</v>
      </c>
      <c r="C52" s="189" t="s">
        <v>2</v>
      </c>
      <c r="D52" s="190" t="s">
        <v>59</v>
      </c>
      <c r="E52" s="190" t="s">
        <v>59</v>
      </c>
      <c r="F52" s="191" t="s">
        <v>59</v>
      </c>
      <c r="G52" s="191" t="s">
        <v>59</v>
      </c>
      <c r="H52" s="191"/>
      <c r="I52" s="190"/>
      <c r="J52" s="180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71"/>
      <c r="AB52" s="174" t="str">
        <f t="shared" ref="AB52:AB59" si="17">B52</f>
        <v>Felix Nmecha</v>
      </c>
    </row>
    <row r="53" spans="1:28" s="113" customFormat="1" ht="10.5" customHeight="1" x14ac:dyDescent="0.2">
      <c r="A53" s="199">
        <v>10</v>
      </c>
      <c r="B53" s="189" t="s">
        <v>644</v>
      </c>
      <c r="C53" s="189" t="s">
        <v>2</v>
      </c>
      <c r="D53" s="190" t="s">
        <v>59</v>
      </c>
      <c r="E53" s="190" t="s">
        <v>59</v>
      </c>
      <c r="F53" s="191" t="s">
        <v>59</v>
      </c>
      <c r="G53" s="191" t="s">
        <v>59</v>
      </c>
      <c r="H53" s="191"/>
      <c r="I53" s="190"/>
      <c r="J53" s="180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71"/>
      <c r="AB53" s="174" t="str">
        <f t="shared" si="17"/>
        <v>Jadon Sancho (A)</v>
      </c>
    </row>
    <row r="54" spans="1:28" s="113" customFormat="1" ht="10.5" customHeight="1" x14ac:dyDescent="0.2">
      <c r="A54" s="199">
        <v>11</v>
      </c>
      <c r="B54" s="189" t="s">
        <v>83</v>
      </c>
      <c r="C54" s="189" t="s">
        <v>2</v>
      </c>
      <c r="D54" s="190" t="s">
        <v>59</v>
      </c>
      <c r="E54" s="190" t="s">
        <v>59</v>
      </c>
      <c r="F54" s="191" t="s">
        <v>59</v>
      </c>
      <c r="G54" s="191" t="s">
        <v>59</v>
      </c>
      <c r="H54" s="191"/>
      <c r="I54" s="190"/>
      <c r="J54" s="180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71"/>
      <c r="AB54" s="174" t="str">
        <f t="shared" si="17"/>
        <v>Marco Reus</v>
      </c>
    </row>
    <row r="55" spans="1:28" s="113" customFormat="1" ht="10.5" customHeight="1" x14ac:dyDescent="0.2">
      <c r="A55" s="199">
        <v>19</v>
      </c>
      <c r="B55" s="189" t="s">
        <v>121</v>
      </c>
      <c r="C55" s="189" t="s">
        <v>2</v>
      </c>
      <c r="D55" s="190" t="s">
        <v>59</v>
      </c>
      <c r="E55" s="190" t="s">
        <v>59</v>
      </c>
      <c r="F55" s="191" t="s">
        <v>59</v>
      </c>
      <c r="G55" s="191" t="s">
        <v>59</v>
      </c>
      <c r="H55" s="191"/>
      <c r="I55" s="190"/>
      <c r="J55" s="180"/>
      <c r="K55" s="181">
        <v>6</v>
      </c>
      <c r="L55" s="181"/>
      <c r="M55" s="181"/>
      <c r="N55" s="181">
        <v>5</v>
      </c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71"/>
      <c r="AB55" s="174" t="str">
        <f t="shared" si="17"/>
        <v>Julian Brandt</v>
      </c>
    </row>
    <row r="56" spans="1:28" s="113" customFormat="1" ht="10.5" customHeight="1" x14ac:dyDescent="0.2">
      <c r="A56" s="199">
        <v>20</v>
      </c>
      <c r="B56" s="189" t="s">
        <v>411</v>
      </c>
      <c r="C56" s="189" t="s">
        <v>2</v>
      </c>
      <c r="D56" s="190" t="s">
        <v>59</v>
      </c>
      <c r="E56" s="190" t="s">
        <v>59</v>
      </c>
      <c r="F56" s="191" t="s">
        <v>59</v>
      </c>
      <c r="G56" s="191" t="s">
        <v>59</v>
      </c>
      <c r="H56" s="191"/>
      <c r="I56" s="190"/>
      <c r="J56" s="180"/>
      <c r="K56" s="181"/>
      <c r="L56" s="181"/>
      <c r="M56" s="181"/>
      <c r="N56" s="181"/>
      <c r="O56" s="181"/>
      <c r="P56" s="181"/>
      <c r="Q56" s="181"/>
      <c r="R56" s="181"/>
      <c r="S56" s="181">
        <v>5</v>
      </c>
      <c r="T56" s="181"/>
      <c r="U56" s="181"/>
      <c r="V56" s="181"/>
      <c r="W56" s="181"/>
      <c r="X56" s="181"/>
      <c r="Y56" s="181"/>
      <c r="Z56" s="171"/>
      <c r="AB56" s="174" t="str">
        <f t="shared" si="17"/>
        <v>Marcel Sabitzer (A)</v>
      </c>
    </row>
    <row r="57" spans="1:28" s="113" customFormat="1" ht="10.5" customHeight="1" x14ac:dyDescent="0.2">
      <c r="A57" s="199">
        <v>23</v>
      </c>
      <c r="B57" s="189" t="s">
        <v>217</v>
      </c>
      <c r="C57" s="189" t="s">
        <v>2</v>
      </c>
      <c r="D57" s="190" t="s">
        <v>59</v>
      </c>
      <c r="E57" s="190" t="s">
        <v>59</v>
      </c>
      <c r="F57" s="191" t="s">
        <v>59</v>
      </c>
      <c r="G57" s="191" t="s">
        <v>59</v>
      </c>
      <c r="H57" s="191"/>
      <c r="I57" s="190"/>
      <c r="J57" s="180"/>
      <c r="K57" s="181"/>
      <c r="L57" s="181"/>
      <c r="M57" s="181"/>
      <c r="N57" s="181"/>
      <c r="O57" s="181">
        <v>6</v>
      </c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71"/>
      <c r="AB57" s="174" t="str">
        <f t="shared" si="17"/>
        <v>Emre Can</v>
      </c>
    </row>
    <row r="58" spans="1:28" s="113" customFormat="1" ht="10.5" customHeight="1" x14ac:dyDescent="0.2">
      <c r="A58" s="199">
        <v>30</v>
      </c>
      <c r="B58" s="189" t="s">
        <v>412</v>
      </c>
      <c r="C58" s="189" t="s">
        <v>2</v>
      </c>
      <c r="D58" s="190" t="s">
        <v>59</v>
      </c>
      <c r="E58" s="190" t="s">
        <v>59</v>
      </c>
      <c r="F58" s="191" t="s">
        <v>59</v>
      </c>
      <c r="G58" s="191" t="s">
        <v>59</v>
      </c>
      <c r="H58" s="191"/>
      <c r="I58" s="190"/>
      <c r="J58" s="180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71"/>
      <c r="AB58" s="174" t="str">
        <f t="shared" si="17"/>
        <v>Ole Pohlmann</v>
      </c>
    </row>
    <row r="59" spans="1:28" s="113" customFormat="1" ht="10.5" customHeight="1" x14ac:dyDescent="0.2">
      <c r="A59" s="199">
        <v>32</v>
      </c>
      <c r="B59" s="189" t="s">
        <v>265</v>
      </c>
      <c r="C59" s="189" t="s">
        <v>2</v>
      </c>
      <c r="D59" s="190" t="s">
        <v>59</v>
      </c>
      <c r="E59" s="190" t="s">
        <v>59</v>
      </c>
      <c r="F59" s="191" t="s">
        <v>59</v>
      </c>
      <c r="G59" s="191" t="s">
        <v>59</v>
      </c>
      <c r="H59" s="191"/>
      <c r="I59" s="190"/>
      <c r="J59" s="180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71"/>
      <c r="AB59" s="174" t="str">
        <f t="shared" si="17"/>
        <v>Abdoulaye Kamara (A)</v>
      </c>
    </row>
    <row r="60" spans="1:28" s="113" customFormat="1" ht="10.5" customHeight="1" x14ac:dyDescent="0.2">
      <c r="A60" s="199">
        <v>38</v>
      </c>
      <c r="B60" s="189" t="s">
        <v>665</v>
      </c>
      <c r="C60" s="189" t="s">
        <v>2</v>
      </c>
      <c r="D60" s="190" t="s">
        <v>59</v>
      </c>
      <c r="E60" s="190" t="s">
        <v>59</v>
      </c>
      <c r="F60" s="191" t="s">
        <v>59</v>
      </c>
      <c r="G60" s="191" t="s">
        <v>59</v>
      </c>
      <c r="H60" s="191"/>
      <c r="I60" s="190"/>
      <c r="J60" s="180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71"/>
      <c r="AB60" s="174" t="str">
        <f t="shared" ref="AB60" si="18">B60</f>
        <v>Kjell Wätjen</v>
      </c>
    </row>
    <row r="61" spans="1:28" s="113" customFormat="1" ht="10.5" customHeight="1" x14ac:dyDescent="0.2">
      <c r="A61" s="199">
        <v>48</v>
      </c>
      <c r="B61" s="189" t="s">
        <v>544</v>
      </c>
      <c r="C61" s="189" t="s">
        <v>2</v>
      </c>
      <c r="D61" s="190" t="s">
        <v>59</v>
      </c>
      <c r="E61" s="190" t="s">
        <v>59</v>
      </c>
      <c r="F61" s="191" t="s">
        <v>59</v>
      </c>
      <c r="G61" s="191" t="s">
        <v>59</v>
      </c>
      <c r="H61" s="191"/>
      <c r="I61" s="190"/>
      <c r="J61" s="180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71"/>
      <c r="AB61" s="174" t="str">
        <f t="shared" si="16"/>
        <v>Samuel Bamba</v>
      </c>
    </row>
    <row r="62" spans="1:28" ht="10.5" customHeight="1" x14ac:dyDescent="0.2">
      <c r="A62" s="200">
        <v>9</v>
      </c>
      <c r="B62" s="194" t="s">
        <v>326</v>
      </c>
      <c r="C62" s="194" t="s">
        <v>3</v>
      </c>
      <c r="D62" s="195" t="s">
        <v>59</v>
      </c>
      <c r="E62" s="195" t="s">
        <v>59</v>
      </c>
      <c r="F62" s="195" t="s">
        <v>59</v>
      </c>
      <c r="G62" s="195" t="s">
        <v>59</v>
      </c>
      <c r="H62" s="196"/>
      <c r="I62" s="195"/>
      <c r="J62" s="180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AB62" s="174" t="str">
        <f>B62</f>
        <v>Sebastien Haller (A)</v>
      </c>
    </row>
    <row r="63" spans="1:28" ht="10.5" customHeight="1" x14ac:dyDescent="0.2">
      <c r="A63" s="200">
        <v>14</v>
      </c>
      <c r="B63" s="194" t="s">
        <v>372</v>
      </c>
      <c r="C63" s="194" t="s">
        <v>3</v>
      </c>
      <c r="D63" s="195" t="s">
        <v>59</v>
      </c>
      <c r="E63" s="195" t="s">
        <v>59</v>
      </c>
      <c r="F63" s="195" t="s">
        <v>59</v>
      </c>
      <c r="G63" s="195" t="s">
        <v>59</v>
      </c>
      <c r="H63" s="196"/>
      <c r="I63" s="195"/>
      <c r="J63" s="180"/>
      <c r="K63" s="181"/>
      <c r="L63" s="181">
        <v>11</v>
      </c>
      <c r="M63" s="181"/>
      <c r="N63" s="181"/>
      <c r="O63" s="181"/>
      <c r="P63" s="181">
        <v>11</v>
      </c>
      <c r="Q63" s="181"/>
      <c r="R63" s="181"/>
      <c r="S63" s="181">
        <v>10</v>
      </c>
      <c r="T63" s="181"/>
      <c r="U63" s="181"/>
      <c r="V63" s="181"/>
      <c r="W63" s="181"/>
      <c r="X63" s="181"/>
      <c r="Y63" s="181"/>
      <c r="AB63" s="174" t="str">
        <f>B63</f>
        <v>Niclas Füllkrug</v>
      </c>
    </row>
    <row r="64" spans="1:28" ht="10.5" customHeight="1" x14ac:dyDescent="0.2">
      <c r="A64" s="200">
        <v>16</v>
      </c>
      <c r="B64" s="194" t="s">
        <v>390</v>
      </c>
      <c r="C64" s="194" t="s">
        <v>3</v>
      </c>
      <c r="D64" s="195" t="s">
        <v>59</v>
      </c>
      <c r="E64" s="195" t="s">
        <v>59</v>
      </c>
      <c r="F64" s="195" t="s">
        <v>59</v>
      </c>
      <c r="G64" s="195" t="s">
        <v>59</v>
      </c>
      <c r="H64" s="196"/>
      <c r="I64" s="195"/>
      <c r="J64" s="180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AB64" s="174" t="str">
        <f>B64</f>
        <v>Julien Duranville (A)</v>
      </c>
    </row>
    <row r="65" spans="1:28" ht="10.5" customHeight="1" x14ac:dyDescent="0.2">
      <c r="A65" s="200">
        <v>18</v>
      </c>
      <c r="B65" s="194" t="s">
        <v>266</v>
      </c>
      <c r="C65" s="194" t="s">
        <v>3</v>
      </c>
      <c r="D65" s="195" t="s">
        <v>59</v>
      </c>
      <c r="E65" s="195" t="s">
        <v>59</v>
      </c>
      <c r="F65" s="195" t="s">
        <v>59</v>
      </c>
      <c r="G65" s="195" t="s">
        <v>59</v>
      </c>
      <c r="H65" s="196"/>
      <c r="I65" s="195"/>
      <c r="J65" s="180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AB65" s="174" t="str">
        <f t="shared" ref="AB65:AB69" si="19">B65</f>
        <v xml:space="preserve">Youssoufa Moukoko </v>
      </c>
    </row>
    <row r="66" spans="1:28" ht="10.5" customHeight="1" x14ac:dyDescent="0.2">
      <c r="A66" s="200">
        <v>21</v>
      </c>
      <c r="B66" s="194" t="s">
        <v>267</v>
      </c>
      <c r="C66" s="194" t="s">
        <v>3</v>
      </c>
      <c r="D66" s="195" t="s">
        <v>59</v>
      </c>
      <c r="E66" s="195" t="s">
        <v>59</v>
      </c>
      <c r="F66" s="195" t="s">
        <v>59</v>
      </c>
      <c r="G66" s="195" t="s">
        <v>59</v>
      </c>
      <c r="H66" s="196"/>
      <c r="I66" s="195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AB66" s="174" t="str">
        <f t="shared" ref="AB66" si="20">B66</f>
        <v>Donyell Malen (A)</v>
      </c>
    </row>
    <row r="67" spans="1:28" ht="10.5" customHeight="1" x14ac:dyDescent="0.2">
      <c r="A67" s="200">
        <v>27</v>
      </c>
      <c r="B67" s="194" t="s">
        <v>327</v>
      </c>
      <c r="C67" s="194" t="s">
        <v>3</v>
      </c>
      <c r="D67" s="195" t="s">
        <v>59</v>
      </c>
      <c r="E67" s="195" t="s">
        <v>59</v>
      </c>
      <c r="F67" s="195" t="s">
        <v>59</v>
      </c>
      <c r="G67" s="195" t="s">
        <v>59</v>
      </c>
      <c r="H67" s="196"/>
      <c r="I67" s="195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B67" s="174" t="str">
        <f t="shared" si="19"/>
        <v>Karim Adeyemi</v>
      </c>
    </row>
    <row r="68" spans="1:28" ht="9.75" customHeight="1" x14ac:dyDescent="0.2">
      <c r="A68" s="200">
        <v>29</v>
      </c>
      <c r="B68" s="194" t="s">
        <v>625</v>
      </c>
      <c r="C68" s="194" t="s">
        <v>3</v>
      </c>
      <c r="D68" s="195" t="s">
        <v>59</v>
      </c>
      <c r="E68" s="195" t="s">
        <v>59</v>
      </c>
      <c r="F68" s="195" t="s">
        <v>59</v>
      </c>
      <c r="G68" s="195" t="s">
        <v>59</v>
      </c>
      <c r="H68" s="196"/>
      <c r="I68" s="195"/>
      <c r="J68" s="18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AB68" s="174" t="str">
        <f t="shared" ref="AB68" si="21">B68</f>
        <v>Paris Brunner</v>
      </c>
    </row>
    <row r="69" spans="1:28" ht="9.75" customHeight="1" x14ac:dyDescent="0.2">
      <c r="A69" s="200">
        <v>43</v>
      </c>
      <c r="B69" s="194" t="s">
        <v>328</v>
      </c>
      <c r="C69" s="194" t="s">
        <v>3</v>
      </c>
      <c r="D69" s="195" t="s">
        <v>59</v>
      </c>
      <c r="E69" s="195" t="s">
        <v>59</v>
      </c>
      <c r="F69" s="195" t="s">
        <v>59</v>
      </c>
      <c r="G69" s="195" t="s">
        <v>59</v>
      </c>
      <c r="H69" s="196"/>
      <c r="I69" s="195"/>
      <c r="J69" s="180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AB69" s="174" t="str">
        <f t="shared" si="19"/>
        <v>Jamie Bynoe-Gittens (A)</v>
      </c>
    </row>
    <row r="70" spans="1:28" ht="15" customHeight="1" thickBot="1" x14ac:dyDescent="0.25">
      <c r="A70" s="219" t="s">
        <v>128</v>
      </c>
      <c r="B70" s="219"/>
      <c r="C70" s="219"/>
      <c r="D70" s="219"/>
      <c r="E70" s="219"/>
      <c r="F70" s="219"/>
      <c r="G70" s="219"/>
      <c r="H70" s="219"/>
      <c r="I70" s="219"/>
      <c r="J70" s="10"/>
      <c r="K70" s="175">
        <v>12</v>
      </c>
      <c r="L70" s="175">
        <v>12</v>
      </c>
      <c r="M70" s="175">
        <v>12</v>
      </c>
      <c r="N70" s="175">
        <v>12</v>
      </c>
      <c r="O70" s="175">
        <v>12</v>
      </c>
      <c r="P70" s="175">
        <v>12</v>
      </c>
      <c r="Q70" s="175">
        <v>12</v>
      </c>
      <c r="R70" s="175">
        <v>12</v>
      </c>
      <c r="S70" s="175">
        <v>12</v>
      </c>
      <c r="T70" s="175">
        <v>12</v>
      </c>
      <c r="U70" s="175">
        <v>12</v>
      </c>
      <c r="V70" s="175">
        <v>12</v>
      </c>
      <c r="W70" s="175">
        <v>12</v>
      </c>
      <c r="X70" s="175">
        <v>12</v>
      </c>
      <c r="Y70" s="175">
        <v>12</v>
      </c>
      <c r="Z70" s="216"/>
      <c r="AB70" s="174" t="str">
        <f>A70</f>
        <v>RB Leipzig</v>
      </c>
    </row>
    <row r="71" spans="1:28" ht="10.5" customHeight="1" x14ac:dyDescent="0.2">
      <c r="A71" s="176">
        <v>1</v>
      </c>
      <c r="B71" s="177" t="s">
        <v>566</v>
      </c>
      <c r="C71" s="177" t="s">
        <v>0</v>
      </c>
      <c r="D71" s="178" t="s">
        <v>59</v>
      </c>
      <c r="E71" s="178" t="s">
        <v>59</v>
      </c>
      <c r="F71" s="179" t="s">
        <v>59</v>
      </c>
      <c r="G71" s="179" t="s">
        <v>59</v>
      </c>
      <c r="H71" s="179"/>
      <c r="I71" s="178"/>
      <c r="J71" s="180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AB71" s="174" t="str">
        <f t="shared" ref="AB71:AB83" si="22">B71</f>
        <v>Péter Gulácsi (A)</v>
      </c>
    </row>
    <row r="72" spans="1:28" ht="10.5" customHeight="1" x14ac:dyDescent="0.2">
      <c r="A72" s="176">
        <v>21</v>
      </c>
      <c r="B72" s="177" t="s">
        <v>330</v>
      </c>
      <c r="C72" s="177" t="s">
        <v>0</v>
      </c>
      <c r="D72" s="178" t="s">
        <v>59</v>
      </c>
      <c r="E72" s="178" t="s">
        <v>59</v>
      </c>
      <c r="F72" s="179" t="s">
        <v>59</v>
      </c>
      <c r="G72" s="179" t="s">
        <v>59</v>
      </c>
      <c r="H72" s="179"/>
      <c r="I72" s="178"/>
      <c r="J72" s="180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AB72" s="174" t="str">
        <f t="shared" si="22"/>
        <v>Janis Blaswich</v>
      </c>
    </row>
    <row r="73" spans="1:28" ht="10.5" customHeight="1" x14ac:dyDescent="0.2">
      <c r="A73" s="176">
        <v>25</v>
      </c>
      <c r="B73" s="177" t="s">
        <v>413</v>
      </c>
      <c r="C73" s="177" t="s">
        <v>0</v>
      </c>
      <c r="D73" s="178" t="s">
        <v>59</v>
      </c>
      <c r="E73" s="178" t="s">
        <v>59</v>
      </c>
      <c r="F73" s="179" t="s">
        <v>59</v>
      </c>
      <c r="G73" s="179" t="s">
        <v>59</v>
      </c>
      <c r="H73" s="179"/>
      <c r="I73" s="178"/>
      <c r="J73" s="180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AB73" s="174" t="str">
        <f t="shared" si="22"/>
        <v>Leopold Zingerle</v>
      </c>
    </row>
    <row r="74" spans="1:28" ht="10.5" customHeight="1" x14ac:dyDescent="0.2">
      <c r="A74" s="176">
        <v>36</v>
      </c>
      <c r="B74" s="177" t="s">
        <v>331</v>
      </c>
      <c r="C74" s="177" t="s">
        <v>0</v>
      </c>
      <c r="D74" s="178" t="s">
        <v>59</v>
      </c>
      <c r="E74" s="178" t="s">
        <v>59</v>
      </c>
      <c r="F74" s="179" t="s">
        <v>59</v>
      </c>
      <c r="G74" s="179" t="s">
        <v>59</v>
      </c>
      <c r="H74" s="179"/>
      <c r="I74" s="178"/>
      <c r="J74" s="180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AB74" s="174" t="str">
        <f t="shared" ref="AB74:AB75" si="23">B74</f>
        <v>Timo Schlieck</v>
      </c>
    </row>
    <row r="75" spans="1:28" ht="10.5" customHeight="1" x14ac:dyDescent="0.2">
      <c r="A75" s="197">
        <v>2</v>
      </c>
      <c r="B75" s="198" t="s">
        <v>263</v>
      </c>
      <c r="C75" s="184" t="s">
        <v>1</v>
      </c>
      <c r="D75" s="185" t="s">
        <v>59</v>
      </c>
      <c r="E75" s="185" t="s">
        <v>59</v>
      </c>
      <c r="F75" s="186" t="s">
        <v>59</v>
      </c>
      <c r="G75" s="186" t="s">
        <v>59</v>
      </c>
      <c r="H75" s="186"/>
      <c r="I75" s="185"/>
      <c r="J75" s="180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AB75" s="174" t="str">
        <f t="shared" si="23"/>
        <v>Mohamed Simakan (A)</v>
      </c>
    </row>
    <row r="76" spans="1:28" ht="10.5" customHeight="1" x14ac:dyDescent="0.2">
      <c r="A76" s="197">
        <v>3</v>
      </c>
      <c r="B76" s="198" t="s">
        <v>208</v>
      </c>
      <c r="C76" s="184" t="s">
        <v>1</v>
      </c>
      <c r="D76" s="185" t="s">
        <v>59</v>
      </c>
      <c r="E76" s="185" t="s">
        <v>59</v>
      </c>
      <c r="F76" s="186" t="s">
        <v>59</v>
      </c>
      <c r="G76" s="186" t="s">
        <v>59</v>
      </c>
      <c r="H76" s="186"/>
      <c r="I76" s="185"/>
      <c r="J76" s="180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AB76" s="174" t="str">
        <f t="shared" ref="AB76" si="24">B76</f>
        <v>Christopher Lenz</v>
      </c>
    </row>
    <row r="77" spans="1:28" ht="10.5" customHeight="1" x14ac:dyDescent="0.2">
      <c r="A77" s="197">
        <v>4</v>
      </c>
      <c r="B77" s="198" t="s">
        <v>145</v>
      </c>
      <c r="C77" s="184" t="s">
        <v>1</v>
      </c>
      <c r="D77" s="185" t="s">
        <v>59</v>
      </c>
      <c r="E77" s="185" t="s">
        <v>59</v>
      </c>
      <c r="F77" s="186" t="s">
        <v>59</v>
      </c>
      <c r="G77" s="186" t="s">
        <v>59</v>
      </c>
      <c r="H77" s="186"/>
      <c r="I77" s="185"/>
      <c r="J77" s="180"/>
      <c r="K77" s="181"/>
      <c r="L77" s="181"/>
      <c r="M77" s="181"/>
      <c r="N77" s="181">
        <v>4</v>
      </c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AB77" s="174" t="str">
        <f t="shared" si="22"/>
        <v>Willi Orban</v>
      </c>
    </row>
    <row r="78" spans="1:28" ht="10.5" customHeight="1" x14ac:dyDescent="0.2">
      <c r="A78" s="197">
        <v>5</v>
      </c>
      <c r="B78" s="198" t="s">
        <v>414</v>
      </c>
      <c r="C78" s="184" t="s">
        <v>1</v>
      </c>
      <c r="D78" s="185" t="s">
        <v>59</v>
      </c>
      <c r="E78" s="185" t="s">
        <v>59</v>
      </c>
      <c r="F78" s="186" t="s">
        <v>59</v>
      </c>
      <c r="G78" s="186" t="s">
        <v>59</v>
      </c>
      <c r="H78" s="186"/>
      <c r="I78" s="185"/>
      <c r="J78" s="180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AB78" s="174" t="str">
        <f t="shared" si="22"/>
        <v>El Chadaille Bitshiabu (A)</v>
      </c>
    </row>
    <row r="79" spans="1:28" ht="10.5" customHeight="1" x14ac:dyDescent="0.2">
      <c r="A79" s="197">
        <v>16</v>
      </c>
      <c r="B79" s="198" t="s">
        <v>149</v>
      </c>
      <c r="C79" s="184" t="s">
        <v>1</v>
      </c>
      <c r="D79" s="185" t="s">
        <v>59</v>
      </c>
      <c r="E79" s="185" t="s">
        <v>59</v>
      </c>
      <c r="F79" s="186" t="s">
        <v>59</v>
      </c>
      <c r="G79" s="186" t="s">
        <v>59</v>
      </c>
      <c r="H79" s="186"/>
      <c r="I79" s="185"/>
      <c r="J79" s="180"/>
      <c r="K79" s="181"/>
      <c r="L79" s="181"/>
      <c r="M79" s="181"/>
      <c r="N79" s="181"/>
      <c r="O79" s="181"/>
      <c r="P79" s="181"/>
      <c r="Q79" s="181">
        <v>2</v>
      </c>
      <c r="R79" s="181"/>
      <c r="S79" s="181"/>
      <c r="T79" s="181"/>
      <c r="U79" s="181"/>
      <c r="V79" s="181"/>
      <c r="W79" s="181"/>
      <c r="X79" s="181"/>
      <c r="Y79" s="181"/>
      <c r="AB79" s="174" t="str">
        <f t="shared" si="22"/>
        <v>Lukas Klostermann</v>
      </c>
    </row>
    <row r="80" spans="1:28" ht="10.5" customHeight="1" x14ac:dyDescent="0.2">
      <c r="A80" s="197">
        <v>22</v>
      </c>
      <c r="B80" s="198" t="s">
        <v>282</v>
      </c>
      <c r="C80" s="184" t="s">
        <v>1</v>
      </c>
      <c r="D80" s="185" t="s">
        <v>59</v>
      </c>
      <c r="E80" s="185" t="s">
        <v>59</v>
      </c>
      <c r="F80" s="186" t="s">
        <v>59</v>
      </c>
      <c r="G80" s="186" t="s">
        <v>59</v>
      </c>
      <c r="H80" s="186"/>
      <c r="I80" s="185"/>
      <c r="J80" s="180"/>
      <c r="K80" s="181"/>
      <c r="L80" s="181">
        <v>4</v>
      </c>
      <c r="M80" s="181"/>
      <c r="N80" s="181"/>
      <c r="O80" s="181">
        <v>2</v>
      </c>
      <c r="P80" s="181">
        <v>2</v>
      </c>
      <c r="Q80" s="181"/>
      <c r="R80" s="181">
        <v>2</v>
      </c>
      <c r="S80" s="181">
        <v>2</v>
      </c>
      <c r="T80" s="181"/>
      <c r="U80" s="181"/>
      <c r="V80" s="181"/>
      <c r="W80" s="181"/>
      <c r="X80" s="181"/>
      <c r="Y80" s="181"/>
      <c r="AB80" s="174" t="str">
        <f t="shared" si="22"/>
        <v>David Raum</v>
      </c>
    </row>
    <row r="81" spans="1:28" ht="10.5" customHeight="1" x14ac:dyDescent="0.2">
      <c r="A81" s="197">
        <v>23</v>
      </c>
      <c r="B81" s="198" t="s">
        <v>542</v>
      </c>
      <c r="C81" s="184" t="s">
        <v>1</v>
      </c>
      <c r="D81" s="185" t="s">
        <v>59</v>
      </c>
      <c r="E81" s="185" t="s">
        <v>59</v>
      </c>
      <c r="F81" s="186" t="s">
        <v>59</v>
      </c>
      <c r="G81" s="186" t="s">
        <v>59</v>
      </c>
      <c r="H81" s="186"/>
      <c r="I81" s="185"/>
      <c r="J81" s="180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AB81" s="174" t="str">
        <f t="shared" si="22"/>
        <v>Castello Lukeba (A)</v>
      </c>
    </row>
    <row r="82" spans="1:28" ht="10.5" customHeight="1" x14ac:dyDescent="0.2">
      <c r="A82" s="197">
        <v>31</v>
      </c>
      <c r="B82" s="198" t="s">
        <v>626</v>
      </c>
      <c r="C82" s="184" t="s">
        <v>1</v>
      </c>
      <c r="D82" s="185" t="s">
        <v>59</v>
      </c>
      <c r="E82" s="185" t="s">
        <v>59</v>
      </c>
      <c r="F82" s="186" t="s">
        <v>59</v>
      </c>
      <c r="G82" s="186" t="s">
        <v>59</v>
      </c>
      <c r="H82" s="186"/>
      <c r="I82" s="185"/>
      <c r="J82" s="180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AB82" s="174" t="str">
        <f t="shared" ref="AB82" si="25">B82</f>
        <v>Tim Köhler</v>
      </c>
    </row>
    <row r="83" spans="1:28" ht="10.5" customHeight="1" x14ac:dyDescent="0.2">
      <c r="A83" s="197">
        <v>39</v>
      </c>
      <c r="B83" s="198" t="s">
        <v>228</v>
      </c>
      <c r="C83" s="184" t="s">
        <v>1</v>
      </c>
      <c r="D83" s="185" t="s">
        <v>59</v>
      </c>
      <c r="E83" s="185" t="s">
        <v>59</v>
      </c>
      <c r="F83" s="186" t="s">
        <v>59</v>
      </c>
      <c r="G83" s="186" t="s">
        <v>59</v>
      </c>
      <c r="H83" s="186"/>
      <c r="I83" s="185"/>
      <c r="J83" s="180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AB83" s="174" t="str">
        <f t="shared" si="22"/>
        <v>Benjamin Henrichs</v>
      </c>
    </row>
    <row r="84" spans="1:28" ht="10.5" customHeight="1" x14ac:dyDescent="0.2">
      <c r="A84" s="199">
        <v>6</v>
      </c>
      <c r="B84" s="189" t="s">
        <v>638</v>
      </c>
      <c r="C84" s="189" t="s">
        <v>2</v>
      </c>
      <c r="D84" s="190" t="s">
        <v>59</v>
      </c>
      <c r="E84" s="190" t="s">
        <v>59</v>
      </c>
      <c r="F84" s="191" t="s">
        <v>59</v>
      </c>
      <c r="G84" s="191" t="s">
        <v>59</v>
      </c>
      <c r="H84" s="191"/>
      <c r="I84" s="190"/>
      <c r="J84" s="180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AB84" s="174" t="str">
        <f t="shared" ref="AB84:AB89" si="26">B84</f>
        <v>Eljif Elmans (A)</v>
      </c>
    </row>
    <row r="85" spans="1:28" ht="10.5" customHeight="1" x14ac:dyDescent="0.2">
      <c r="A85" s="199">
        <v>7</v>
      </c>
      <c r="B85" s="189" t="s">
        <v>216</v>
      </c>
      <c r="C85" s="189" t="s">
        <v>2</v>
      </c>
      <c r="D85" s="190"/>
      <c r="E85" s="190"/>
      <c r="F85" s="191"/>
      <c r="G85" s="191"/>
      <c r="H85" s="191"/>
      <c r="I85" s="190"/>
      <c r="J85" s="180"/>
      <c r="K85" s="181">
        <v>5</v>
      </c>
      <c r="L85" s="181"/>
      <c r="M85" s="181">
        <v>5</v>
      </c>
      <c r="N85" s="181"/>
      <c r="O85" s="181">
        <v>8</v>
      </c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AB85" s="174" t="str">
        <f t="shared" si="26"/>
        <v>Dani Olmo (A)</v>
      </c>
    </row>
    <row r="86" spans="1:28" ht="10.5" customHeight="1" x14ac:dyDescent="0.2">
      <c r="A86" s="199">
        <v>8</v>
      </c>
      <c r="B86" s="189" t="s">
        <v>184</v>
      </c>
      <c r="C86" s="189" t="s">
        <v>2</v>
      </c>
      <c r="D86" s="190"/>
      <c r="E86" s="190"/>
      <c r="F86" s="191"/>
      <c r="G86" s="191"/>
      <c r="H86" s="191"/>
      <c r="I86" s="190"/>
      <c r="J86" s="180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AB86" s="174" t="str">
        <f t="shared" si="26"/>
        <v>Amadou Haidara (A)</v>
      </c>
    </row>
    <row r="87" spans="1:28" ht="10.5" customHeight="1" x14ac:dyDescent="0.2">
      <c r="A87" s="199">
        <v>13</v>
      </c>
      <c r="B87" s="189" t="s">
        <v>415</v>
      </c>
      <c r="C87" s="189" t="s">
        <v>2</v>
      </c>
      <c r="D87" s="190"/>
      <c r="E87" s="190"/>
      <c r="F87" s="191"/>
      <c r="G87" s="191"/>
      <c r="H87" s="191"/>
      <c r="I87" s="190"/>
      <c r="J87" s="180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AB87" s="174" t="str">
        <f t="shared" si="26"/>
        <v>Nicolas Seiwald (A)</v>
      </c>
    </row>
    <row r="88" spans="1:28" ht="10.5" customHeight="1" x14ac:dyDescent="0.2">
      <c r="A88" s="199">
        <v>14</v>
      </c>
      <c r="B88" s="189" t="s">
        <v>163</v>
      </c>
      <c r="C88" s="189" t="s">
        <v>2</v>
      </c>
      <c r="D88" s="190"/>
      <c r="E88" s="190"/>
      <c r="F88" s="191"/>
      <c r="G88" s="191"/>
      <c r="H88" s="191"/>
      <c r="I88" s="190"/>
      <c r="J88" s="180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AB88" s="174" t="str">
        <f t="shared" si="26"/>
        <v>Christoph Baumgartner (A)</v>
      </c>
    </row>
    <row r="89" spans="1:28" ht="10.5" customHeight="1" x14ac:dyDescent="0.2">
      <c r="A89" s="199">
        <v>20</v>
      </c>
      <c r="B89" s="189" t="s">
        <v>416</v>
      </c>
      <c r="C89" s="189" t="s">
        <v>2</v>
      </c>
      <c r="D89" s="190" t="s">
        <v>59</v>
      </c>
      <c r="E89" s="190" t="s">
        <v>59</v>
      </c>
      <c r="F89" s="191" t="s">
        <v>59</v>
      </c>
      <c r="G89" s="191" t="s">
        <v>59</v>
      </c>
      <c r="H89" s="191"/>
      <c r="I89" s="190"/>
      <c r="J89" s="180"/>
      <c r="K89" s="181"/>
      <c r="L89" s="181"/>
      <c r="M89" s="181">
        <v>7</v>
      </c>
      <c r="N89" s="181">
        <v>6</v>
      </c>
      <c r="O89" s="181"/>
      <c r="P89" s="181"/>
      <c r="Q89" s="181">
        <v>7</v>
      </c>
      <c r="R89" s="181">
        <v>7</v>
      </c>
      <c r="S89" s="181"/>
      <c r="T89" s="181"/>
      <c r="U89" s="181"/>
      <c r="V89" s="181"/>
      <c r="W89" s="181"/>
      <c r="X89" s="181"/>
      <c r="Y89" s="181"/>
      <c r="AB89" s="174" t="str">
        <f t="shared" si="26"/>
        <v>Xavi Simons (A)</v>
      </c>
    </row>
    <row r="90" spans="1:28" ht="10.5" customHeight="1" x14ac:dyDescent="0.2">
      <c r="A90" s="199">
        <v>24</v>
      </c>
      <c r="B90" s="189" t="s">
        <v>189</v>
      </c>
      <c r="C90" s="189" t="s">
        <v>2</v>
      </c>
      <c r="D90" s="190" t="s">
        <v>59</v>
      </c>
      <c r="E90" s="190" t="s">
        <v>59</v>
      </c>
      <c r="F90" s="191" t="s">
        <v>59</v>
      </c>
      <c r="G90" s="191" t="s">
        <v>59</v>
      </c>
      <c r="H90" s="191"/>
      <c r="I90" s="190"/>
      <c r="J90" s="180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AB90" s="174" t="str">
        <f t="shared" ref="AB90:AB91" si="27">B90</f>
        <v>Xaver Schlager (A)</v>
      </c>
    </row>
    <row r="91" spans="1:28" ht="10.5" customHeight="1" x14ac:dyDescent="0.2">
      <c r="A91" s="199">
        <v>38</v>
      </c>
      <c r="B91" s="189" t="s">
        <v>660</v>
      </c>
      <c r="C91" s="189" t="s">
        <v>2</v>
      </c>
      <c r="D91" s="190" t="s">
        <v>59</v>
      </c>
      <c r="E91" s="190" t="s">
        <v>59</v>
      </c>
      <c r="F91" s="191" t="s">
        <v>59</v>
      </c>
      <c r="G91" s="191" t="s">
        <v>59</v>
      </c>
      <c r="H91" s="191"/>
      <c r="I91" s="190"/>
      <c r="J91" s="180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AB91" s="174" t="str">
        <f t="shared" si="27"/>
        <v>Nuha Jatta</v>
      </c>
    </row>
    <row r="92" spans="1:28" ht="10.5" customHeight="1" x14ac:dyDescent="0.2">
      <c r="A92" s="199">
        <v>44</v>
      </c>
      <c r="B92" s="189" t="s">
        <v>126</v>
      </c>
      <c r="C92" s="189" t="s">
        <v>2</v>
      </c>
      <c r="D92" s="190" t="s">
        <v>59</v>
      </c>
      <c r="E92" s="190" t="s">
        <v>59</v>
      </c>
      <c r="F92" s="191" t="s">
        <v>59</v>
      </c>
      <c r="G92" s="191" t="s">
        <v>59</v>
      </c>
      <c r="H92" s="191"/>
      <c r="I92" s="190"/>
      <c r="J92" s="180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AB92" s="174" t="str">
        <f t="shared" ref="AB92" si="28">B92</f>
        <v>Kevin Kampl (A)</v>
      </c>
    </row>
    <row r="93" spans="1:28" ht="10.5" customHeight="1" x14ac:dyDescent="0.2">
      <c r="A93" s="200">
        <v>9</v>
      </c>
      <c r="B93" s="194" t="s">
        <v>137</v>
      </c>
      <c r="C93" s="194" t="s">
        <v>3</v>
      </c>
      <c r="D93" s="195" t="s">
        <v>59</v>
      </c>
      <c r="E93" s="195" t="s">
        <v>59</v>
      </c>
      <c r="F93" s="196" t="s">
        <v>59</v>
      </c>
      <c r="G93" s="196" t="s">
        <v>59</v>
      </c>
      <c r="H93" s="196"/>
      <c r="I93" s="195"/>
      <c r="J93" s="180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AB93" s="174" t="str">
        <f>B93</f>
        <v>Yussuf Poulsen (A)</v>
      </c>
    </row>
    <row r="94" spans="1:28" ht="10.5" customHeight="1" x14ac:dyDescent="0.2">
      <c r="A94" s="200">
        <v>17</v>
      </c>
      <c r="B94" s="194" t="s">
        <v>565</v>
      </c>
      <c r="C94" s="194" t="s">
        <v>3</v>
      </c>
      <c r="D94" s="195" t="s">
        <v>59</v>
      </c>
      <c r="E94" s="195" t="s">
        <v>59</v>
      </c>
      <c r="F94" s="196" t="s">
        <v>59</v>
      </c>
      <c r="G94" s="196" t="s">
        <v>59</v>
      </c>
      <c r="H94" s="196"/>
      <c r="I94" s="195"/>
      <c r="J94" s="180"/>
      <c r="K94" s="181">
        <v>10</v>
      </c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AB94" s="174" t="str">
        <f t="shared" ref="AB94:AB96" si="29">B94</f>
        <v>Loїs Openda (A)</v>
      </c>
    </row>
    <row r="95" spans="1:28" ht="10.5" customHeight="1" x14ac:dyDescent="0.2">
      <c r="A95" s="200">
        <v>30</v>
      </c>
      <c r="B95" s="194" t="s">
        <v>567</v>
      </c>
      <c r="C95" s="194" t="s">
        <v>3</v>
      </c>
      <c r="D95" s="195" t="s">
        <v>59</v>
      </c>
      <c r="E95" s="195" t="s">
        <v>59</v>
      </c>
      <c r="F95" s="196" t="s">
        <v>59</v>
      </c>
      <c r="G95" s="196" t="s">
        <v>59</v>
      </c>
      <c r="H95" s="196"/>
      <c r="I95" s="195"/>
      <c r="J95" s="180"/>
      <c r="K95" s="181"/>
      <c r="L95" s="181">
        <v>10</v>
      </c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AB95" s="174" t="str">
        <f t="shared" ref="AB95" si="30">B95</f>
        <v>Benjamin Šeško (A)</v>
      </c>
    </row>
    <row r="96" spans="1:28" ht="10.5" customHeight="1" x14ac:dyDescent="0.2">
      <c r="A96" s="200">
        <v>46</v>
      </c>
      <c r="B96" s="194" t="s">
        <v>645</v>
      </c>
      <c r="C96" s="194" t="s">
        <v>3</v>
      </c>
      <c r="D96" s="195" t="s">
        <v>59</v>
      </c>
      <c r="E96" s="195" t="s">
        <v>59</v>
      </c>
      <c r="F96" s="196" t="s">
        <v>59</v>
      </c>
      <c r="G96" s="196" t="s">
        <v>59</v>
      </c>
      <c r="H96" s="196"/>
      <c r="I96" s="195"/>
      <c r="J96" s="180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AB96" s="174" t="str">
        <f t="shared" si="29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5">
        <v>12</v>
      </c>
      <c r="L97" s="175">
        <v>12</v>
      </c>
      <c r="M97" s="175">
        <v>12</v>
      </c>
      <c r="N97" s="175">
        <v>12</v>
      </c>
      <c r="O97" s="175">
        <v>12</v>
      </c>
      <c r="P97" s="175">
        <v>12</v>
      </c>
      <c r="Q97" s="175">
        <v>12</v>
      </c>
      <c r="R97" s="175">
        <v>12</v>
      </c>
      <c r="S97" s="175">
        <v>12</v>
      </c>
      <c r="T97" s="175">
        <v>12</v>
      </c>
      <c r="U97" s="175">
        <v>12</v>
      </c>
      <c r="V97" s="175">
        <v>12</v>
      </c>
      <c r="W97" s="175">
        <v>12</v>
      </c>
      <c r="X97" s="175">
        <v>12</v>
      </c>
      <c r="Y97" s="175">
        <v>12</v>
      </c>
      <c r="Z97" s="216"/>
      <c r="AB97" s="174" t="str">
        <f>A97</f>
        <v>1.FC Union Berlin</v>
      </c>
    </row>
    <row r="98" spans="1:28" ht="10.5" customHeight="1" x14ac:dyDescent="0.2">
      <c r="A98" s="176">
        <v>1</v>
      </c>
      <c r="B98" s="177" t="s">
        <v>568</v>
      </c>
      <c r="C98" s="177" t="s">
        <v>0</v>
      </c>
      <c r="D98" s="178" t="s">
        <v>59</v>
      </c>
      <c r="E98" s="178" t="s">
        <v>59</v>
      </c>
      <c r="F98" s="179" t="s">
        <v>59</v>
      </c>
      <c r="G98" s="179" t="s">
        <v>59</v>
      </c>
      <c r="H98" s="179"/>
      <c r="I98" s="178"/>
      <c r="J98" s="180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AB98" s="174" t="str">
        <f>B98</f>
        <v>Frederik Rønnow (A)</v>
      </c>
    </row>
    <row r="99" spans="1:28" ht="10.5" customHeight="1" x14ac:dyDescent="0.2">
      <c r="A99" s="176">
        <v>12</v>
      </c>
      <c r="B99" s="177" t="s">
        <v>206</v>
      </c>
      <c r="C99" s="177" t="s">
        <v>0</v>
      </c>
      <c r="D99" s="178" t="s">
        <v>59</v>
      </c>
      <c r="E99" s="178" t="s">
        <v>59</v>
      </c>
      <c r="F99" s="179" t="s">
        <v>59</v>
      </c>
      <c r="G99" s="179" t="s">
        <v>59</v>
      </c>
      <c r="H99" s="179"/>
      <c r="I99" s="178"/>
      <c r="J99" s="180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AB99" s="174" t="str">
        <f t="shared" ref="AB99:AB101" si="31">B99</f>
        <v>Jakob Busk (A)</v>
      </c>
    </row>
    <row r="100" spans="1:28" ht="10.5" customHeight="1" x14ac:dyDescent="0.2">
      <c r="A100" s="176">
        <v>37</v>
      </c>
      <c r="B100" s="177" t="s">
        <v>154</v>
      </c>
      <c r="C100" s="177" t="s">
        <v>0</v>
      </c>
      <c r="D100" s="178" t="s">
        <v>59</v>
      </c>
      <c r="E100" s="178" t="s">
        <v>59</v>
      </c>
      <c r="F100" s="179" t="s">
        <v>59</v>
      </c>
      <c r="G100" s="179" t="s">
        <v>59</v>
      </c>
      <c r="H100" s="179"/>
      <c r="I100" s="178"/>
      <c r="J100" s="180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AB100" s="174" t="str">
        <f t="shared" ref="AB100" si="32">B100</f>
        <v>Alexander Schwolow</v>
      </c>
    </row>
    <row r="101" spans="1:28" ht="10.5" customHeight="1" x14ac:dyDescent="0.2">
      <c r="A101" s="176">
        <v>39</v>
      </c>
      <c r="B101" s="177" t="s">
        <v>417</v>
      </c>
      <c r="C101" s="177" t="s">
        <v>0</v>
      </c>
      <c r="D101" s="178" t="s">
        <v>59</v>
      </c>
      <c r="E101" s="178" t="s">
        <v>59</v>
      </c>
      <c r="F101" s="179" t="s">
        <v>59</v>
      </c>
      <c r="G101" s="179" t="s">
        <v>59</v>
      </c>
      <c r="H101" s="179"/>
      <c r="I101" s="178"/>
      <c r="J101" s="180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AB101" s="174" t="str">
        <f t="shared" si="31"/>
        <v>Yannic Stein</v>
      </c>
    </row>
    <row r="102" spans="1:28" ht="10.5" customHeight="1" x14ac:dyDescent="0.2">
      <c r="A102" s="197">
        <v>2</v>
      </c>
      <c r="B102" s="198" t="s">
        <v>112</v>
      </c>
      <c r="C102" s="184" t="s">
        <v>1</v>
      </c>
      <c r="D102" s="185" t="s">
        <v>59</v>
      </c>
      <c r="E102" s="185" t="s">
        <v>59</v>
      </c>
      <c r="F102" s="186" t="s">
        <v>59</v>
      </c>
      <c r="G102" s="186" t="s">
        <v>59</v>
      </c>
      <c r="H102" s="186"/>
      <c r="I102" s="185"/>
      <c r="J102" s="180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AB102" s="174" t="str">
        <f t="shared" ref="AB102" si="33">B102</f>
        <v>Kevin Vogt</v>
      </c>
    </row>
    <row r="103" spans="1:28" ht="10.5" customHeight="1" x14ac:dyDescent="0.2">
      <c r="A103" s="197">
        <v>3</v>
      </c>
      <c r="B103" s="198" t="s">
        <v>273</v>
      </c>
      <c r="C103" s="184" t="s">
        <v>1</v>
      </c>
      <c r="D103" s="185" t="s">
        <v>59</v>
      </c>
      <c r="E103" s="185" t="s">
        <v>59</v>
      </c>
      <c r="F103" s="186" t="s">
        <v>59</v>
      </c>
      <c r="G103" s="186" t="s">
        <v>59</v>
      </c>
      <c r="H103" s="186"/>
      <c r="I103" s="185"/>
      <c r="J103" s="180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AB103" s="174" t="str">
        <f t="shared" ref="AB103:AB107" si="34">B103</f>
        <v>Paul Jaeckel</v>
      </c>
    </row>
    <row r="104" spans="1:28" ht="10.5" customHeight="1" x14ac:dyDescent="0.2">
      <c r="A104" s="197">
        <v>4</v>
      </c>
      <c r="B104" s="198" t="s">
        <v>333</v>
      </c>
      <c r="C104" s="184" t="s">
        <v>1</v>
      </c>
      <c r="D104" s="185" t="s">
        <v>59</v>
      </c>
      <c r="E104" s="185" t="s">
        <v>59</v>
      </c>
      <c r="F104" s="186" t="s">
        <v>59</v>
      </c>
      <c r="G104" s="186" t="s">
        <v>59</v>
      </c>
      <c r="H104" s="186"/>
      <c r="I104" s="185"/>
      <c r="J104" s="180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AB104" s="174" t="str">
        <f t="shared" si="34"/>
        <v>Diogo Leite (A)</v>
      </c>
    </row>
    <row r="105" spans="1:28" ht="10.5" customHeight="1" x14ac:dyDescent="0.2">
      <c r="A105" s="197">
        <v>5</v>
      </c>
      <c r="B105" s="198" t="s">
        <v>332</v>
      </c>
      <c r="C105" s="184" t="s">
        <v>1</v>
      </c>
      <c r="D105" s="185" t="s">
        <v>59</v>
      </c>
      <c r="E105" s="185" t="s">
        <v>59</v>
      </c>
      <c r="F105" s="186" t="s">
        <v>59</v>
      </c>
      <c r="G105" s="186" t="s">
        <v>59</v>
      </c>
      <c r="H105" s="186"/>
      <c r="I105" s="185"/>
      <c r="J105" s="180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AB105" s="174" t="str">
        <f t="shared" si="34"/>
        <v>Danilho Doekhi (A)</v>
      </c>
    </row>
    <row r="106" spans="1:28" ht="10.5" customHeight="1" x14ac:dyDescent="0.2">
      <c r="A106" s="197">
        <v>6</v>
      </c>
      <c r="B106" s="198" t="s">
        <v>554</v>
      </c>
      <c r="C106" s="184" t="s">
        <v>1</v>
      </c>
      <c r="D106" s="185" t="s">
        <v>59</v>
      </c>
      <c r="E106" s="185" t="s">
        <v>59</v>
      </c>
      <c r="F106" s="186" t="s">
        <v>59</v>
      </c>
      <c r="G106" s="186" t="s">
        <v>59</v>
      </c>
      <c r="H106" s="186"/>
      <c r="I106" s="185"/>
      <c r="J106" s="180"/>
      <c r="K106" s="181"/>
      <c r="L106" s="181"/>
      <c r="M106" s="181"/>
      <c r="N106" s="181"/>
      <c r="O106" s="181"/>
      <c r="P106" s="181"/>
      <c r="Q106" s="181"/>
      <c r="R106" s="181"/>
      <c r="S106" s="181">
        <v>3</v>
      </c>
      <c r="T106" s="181"/>
      <c r="U106" s="181"/>
      <c r="V106" s="181"/>
      <c r="W106" s="181"/>
      <c r="X106" s="181"/>
      <c r="Y106" s="181"/>
      <c r="AB106" s="174" t="str">
        <f t="shared" si="34"/>
        <v>Robin Gosens</v>
      </c>
    </row>
    <row r="107" spans="1:28" ht="10.5" customHeight="1" x14ac:dyDescent="0.2">
      <c r="A107" s="197">
        <v>18</v>
      </c>
      <c r="B107" s="198" t="s">
        <v>398</v>
      </c>
      <c r="C107" s="184" t="s">
        <v>1</v>
      </c>
      <c r="D107" s="185" t="s">
        <v>59</v>
      </c>
      <c r="E107" s="185" t="s">
        <v>59</v>
      </c>
      <c r="F107" s="186" t="s">
        <v>59</v>
      </c>
      <c r="G107" s="186" t="s">
        <v>59</v>
      </c>
      <c r="H107" s="186"/>
      <c r="I107" s="185"/>
      <c r="J107" s="180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AB107" s="174" t="str">
        <f t="shared" si="34"/>
        <v>Josip Juranovic (A)</v>
      </c>
    </row>
    <row r="108" spans="1:28" ht="10.5" customHeight="1" x14ac:dyDescent="0.2">
      <c r="A108" s="197">
        <v>26</v>
      </c>
      <c r="B108" s="198" t="s">
        <v>173</v>
      </c>
      <c r="C108" s="184" t="s">
        <v>1</v>
      </c>
      <c r="D108" s="185" t="s">
        <v>59</v>
      </c>
      <c r="E108" s="185" t="s">
        <v>59</v>
      </c>
      <c r="F108" s="186" t="s">
        <v>59</v>
      </c>
      <c r="G108" s="186" t="s">
        <v>59</v>
      </c>
      <c r="H108" s="186"/>
      <c r="I108" s="185"/>
      <c r="J108" s="180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AB108" s="174" t="str">
        <f t="shared" ref="AB108:AB110" si="35">B108</f>
        <v>Jerome Roussillon (A)</v>
      </c>
    </row>
    <row r="109" spans="1:28" ht="10.5" customHeight="1" x14ac:dyDescent="0.2">
      <c r="A109" s="197">
        <v>28</v>
      </c>
      <c r="B109" s="198" t="s">
        <v>209</v>
      </c>
      <c r="C109" s="184" t="s">
        <v>1</v>
      </c>
      <c r="D109" s="185" t="s">
        <v>59</v>
      </c>
      <c r="E109" s="185" t="s">
        <v>59</v>
      </c>
      <c r="F109" s="186" t="s">
        <v>59</v>
      </c>
      <c r="G109" s="186" t="s">
        <v>59</v>
      </c>
      <c r="H109" s="186"/>
      <c r="I109" s="185"/>
      <c r="J109" s="180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AB109" s="174" t="str">
        <f t="shared" si="35"/>
        <v>Christopher Trimmel (A)</v>
      </c>
    </row>
    <row r="110" spans="1:28" ht="10.5" customHeight="1" x14ac:dyDescent="0.2">
      <c r="A110" s="197">
        <v>31</v>
      </c>
      <c r="B110" s="198" t="s">
        <v>99</v>
      </c>
      <c r="C110" s="184" t="s">
        <v>1</v>
      </c>
      <c r="D110" s="185" t="s">
        <v>59</v>
      </c>
      <c r="E110" s="185" t="s">
        <v>59</v>
      </c>
      <c r="F110" s="186" t="s">
        <v>59</v>
      </c>
      <c r="G110" s="186" t="s">
        <v>59</v>
      </c>
      <c r="H110" s="186"/>
      <c r="I110" s="185"/>
      <c r="J110" s="180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AB110" s="174" t="str">
        <f t="shared" si="35"/>
        <v>Robin Knoche</v>
      </c>
    </row>
    <row r="111" spans="1:28" ht="10.5" customHeight="1" x14ac:dyDescent="0.2">
      <c r="A111" s="197">
        <v>41</v>
      </c>
      <c r="B111" s="198" t="s">
        <v>627</v>
      </c>
      <c r="C111" s="184" t="s">
        <v>1</v>
      </c>
      <c r="D111" s="185" t="s">
        <v>59</v>
      </c>
      <c r="E111" s="185" t="s">
        <v>59</v>
      </c>
      <c r="F111" s="186" t="s">
        <v>59</v>
      </c>
      <c r="G111" s="186" t="s">
        <v>59</v>
      </c>
      <c r="H111" s="186"/>
      <c r="I111" s="185"/>
      <c r="J111" s="180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AB111" s="174" t="str">
        <f t="shared" ref="AB111" si="36">B111</f>
        <v>Oluwaseun Ogdemudia</v>
      </c>
    </row>
    <row r="112" spans="1:28" ht="10.5" customHeight="1" x14ac:dyDescent="0.2">
      <c r="A112" s="199">
        <v>7</v>
      </c>
      <c r="B112" s="189" t="s">
        <v>418</v>
      </c>
      <c r="C112" s="189" t="s">
        <v>2</v>
      </c>
      <c r="D112" s="204" t="s">
        <v>59</v>
      </c>
      <c r="E112" s="204" t="s">
        <v>59</v>
      </c>
      <c r="F112" s="205" t="s">
        <v>59</v>
      </c>
      <c r="G112" s="205" t="s">
        <v>59</v>
      </c>
      <c r="H112" s="205"/>
      <c r="I112" s="204"/>
      <c r="J112" s="206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AB112" s="174" t="str">
        <f t="shared" ref="AB112" si="37">B112</f>
        <v>Brendon Aaronson (A)</v>
      </c>
    </row>
    <row r="113" spans="1:28" ht="10.5" customHeight="1" x14ac:dyDescent="0.2">
      <c r="A113" s="199">
        <v>8</v>
      </c>
      <c r="B113" s="189" t="s">
        <v>140</v>
      </c>
      <c r="C113" s="189" t="s">
        <v>2</v>
      </c>
      <c r="D113" s="204" t="s">
        <v>59</v>
      </c>
      <c r="E113" s="204" t="s">
        <v>59</v>
      </c>
      <c r="F113" s="205" t="s">
        <v>59</v>
      </c>
      <c r="G113" s="205" t="s">
        <v>59</v>
      </c>
      <c r="H113" s="205"/>
      <c r="I113" s="204"/>
      <c r="J113" s="206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AB113" s="174" t="str">
        <f t="shared" ref="AB113:AB117" si="38">B113</f>
        <v>Rani Khedira</v>
      </c>
    </row>
    <row r="114" spans="1:28" ht="10.5" customHeight="1" x14ac:dyDescent="0.2">
      <c r="A114" s="199">
        <v>13</v>
      </c>
      <c r="B114" s="189" t="s">
        <v>569</v>
      </c>
      <c r="C114" s="189" t="s">
        <v>2</v>
      </c>
      <c r="D114" s="204" t="s">
        <v>59</v>
      </c>
      <c r="E114" s="204" t="s">
        <v>59</v>
      </c>
      <c r="F114" s="205" t="s">
        <v>59</v>
      </c>
      <c r="G114" s="205" t="s">
        <v>59</v>
      </c>
      <c r="H114" s="205"/>
      <c r="I114" s="204"/>
      <c r="J114" s="206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AB114" s="174" t="str">
        <f t="shared" si="38"/>
        <v>András Schäfer (A)</v>
      </c>
    </row>
    <row r="115" spans="1:28" ht="10.5" customHeight="1" x14ac:dyDescent="0.2">
      <c r="A115" s="199">
        <v>19</v>
      </c>
      <c r="B115" s="189" t="s">
        <v>142</v>
      </c>
      <c r="C115" s="189" t="s">
        <v>2</v>
      </c>
      <c r="D115" s="204" t="s">
        <v>59</v>
      </c>
      <c r="E115" s="204" t="s">
        <v>59</v>
      </c>
      <c r="F115" s="205" t="s">
        <v>59</v>
      </c>
      <c r="G115" s="205" t="s">
        <v>59</v>
      </c>
      <c r="H115" s="205"/>
      <c r="I115" s="204"/>
      <c r="J115" s="206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AB115" s="174" t="str">
        <f t="shared" si="38"/>
        <v>Janik Haberer</v>
      </c>
    </row>
    <row r="116" spans="1:28" ht="10.5" customHeight="1" x14ac:dyDescent="0.2">
      <c r="A116" s="199">
        <v>20</v>
      </c>
      <c r="B116" s="189" t="s">
        <v>391</v>
      </c>
      <c r="C116" s="189" t="s">
        <v>2</v>
      </c>
      <c r="D116" s="204" t="s">
        <v>59</v>
      </c>
      <c r="E116" s="204" t="s">
        <v>59</v>
      </c>
      <c r="F116" s="205" t="s">
        <v>59</v>
      </c>
      <c r="G116" s="205" t="s">
        <v>59</v>
      </c>
      <c r="H116" s="205"/>
      <c r="I116" s="204"/>
      <c r="J116" s="206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AB116" s="174" t="str">
        <f t="shared" si="38"/>
        <v>Aissa Laidouni (A)</v>
      </c>
    </row>
    <row r="117" spans="1:28" ht="10.5" customHeight="1" x14ac:dyDescent="0.2">
      <c r="A117" s="199">
        <v>29</v>
      </c>
      <c r="B117" s="189" t="s">
        <v>234</v>
      </c>
      <c r="C117" s="189" t="s">
        <v>2</v>
      </c>
      <c r="D117" s="204" t="s">
        <v>59</v>
      </c>
      <c r="E117" s="204" t="s">
        <v>59</v>
      </c>
      <c r="F117" s="205" t="s">
        <v>59</v>
      </c>
      <c r="G117" s="205" t="s">
        <v>59</v>
      </c>
      <c r="H117" s="205"/>
      <c r="I117" s="204"/>
      <c r="J117" s="206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AB117" s="174" t="str">
        <f t="shared" si="38"/>
        <v>Lucas Tousart (A)</v>
      </c>
    </row>
    <row r="118" spans="1:28" ht="10.5" customHeight="1" x14ac:dyDescent="0.2">
      <c r="A118" s="199">
        <v>33</v>
      </c>
      <c r="B118" s="189" t="s">
        <v>570</v>
      </c>
      <c r="C118" s="189" t="s">
        <v>2</v>
      </c>
      <c r="D118" s="204" t="s">
        <v>59</v>
      </c>
      <c r="E118" s="204" t="s">
        <v>59</v>
      </c>
      <c r="F118" s="205" t="s">
        <v>59</v>
      </c>
      <c r="G118" s="205" t="s">
        <v>59</v>
      </c>
      <c r="H118" s="205"/>
      <c r="I118" s="204"/>
      <c r="J118" s="206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AB118" s="174" t="str">
        <f t="shared" ref="AB118" si="39">B118</f>
        <v>Alex Král (A)</v>
      </c>
    </row>
    <row r="119" spans="1:28" ht="10.5" customHeight="1" x14ac:dyDescent="0.2">
      <c r="A119" s="200">
        <v>9</v>
      </c>
      <c r="B119" s="194" t="s">
        <v>419</v>
      </c>
      <c r="C119" s="194" t="s">
        <v>3</v>
      </c>
      <c r="D119" s="195" t="s">
        <v>59</v>
      </c>
      <c r="E119" s="195" t="s">
        <v>59</v>
      </c>
      <c r="F119" s="195" t="s">
        <v>59</v>
      </c>
      <c r="G119" s="195" t="s">
        <v>59</v>
      </c>
      <c r="H119" s="196"/>
      <c r="I119" s="195"/>
      <c r="J119" s="180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AB119" s="174" t="str">
        <f t="shared" ref="AB119:AB120" si="40">B119</f>
        <v>Mikkel Kaufmann (A)</v>
      </c>
    </row>
    <row r="120" spans="1:28" ht="10.5" customHeight="1" x14ac:dyDescent="0.2">
      <c r="A120" s="200">
        <v>10</v>
      </c>
      <c r="B120" s="194" t="s">
        <v>556</v>
      </c>
      <c r="C120" s="194" t="s">
        <v>3</v>
      </c>
      <c r="D120" s="195" t="s">
        <v>59</v>
      </c>
      <c r="E120" s="195" t="s">
        <v>59</v>
      </c>
      <c r="F120" s="195" t="s">
        <v>59</v>
      </c>
      <c r="G120" s="195" t="s">
        <v>59</v>
      </c>
      <c r="H120" s="196"/>
      <c r="I120" s="195"/>
      <c r="J120" s="180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AB120" s="174" t="str">
        <f t="shared" si="40"/>
        <v>Kevin Volland</v>
      </c>
    </row>
    <row r="121" spans="1:28" ht="10.5" customHeight="1" x14ac:dyDescent="0.2">
      <c r="A121" s="200">
        <v>11</v>
      </c>
      <c r="B121" s="194" t="s">
        <v>653</v>
      </c>
      <c r="C121" s="194" t="s">
        <v>3</v>
      </c>
      <c r="D121" s="195" t="s">
        <v>59</v>
      </c>
      <c r="E121" s="195" t="s">
        <v>59</v>
      </c>
      <c r="F121" s="195" t="s">
        <v>59</v>
      </c>
      <c r="G121" s="195" t="s">
        <v>59</v>
      </c>
      <c r="H121" s="196"/>
      <c r="I121" s="195"/>
      <c r="J121" s="180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AB121" s="174" t="str">
        <f t="shared" ref="AB121" si="41">B121</f>
        <v>Chris Bedia (A)</v>
      </c>
    </row>
    <row r="122" spans="1:28" ht="10.5" customHeight="1" x14ac:dyDescent="0.2">
      <c r="A122" s="200">
        <v>14</v>
      </c>
      <c r="B122" s="194" t="s">
        <v>666</v>
      </c>
      <c r="C122" s="194" t="s">
        <v>3</v>
      </c>
      <c r="D122" s="195" t="s">
        <v>59</v>
      </c>
      <c r="E122" s="195" t="s">
        <v>59</v>
      </c>
      <c r="F122" s="195" t="s">
        <v>59</v>
      </c>
      <c r="G122" s="195" t="s">
        <v>59</v>
      </c>
      <c r="H122" s="196"/>
      <c r="I122" s="195"/>
      <c r="J122" s="180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AB122" s="174" t="str">
        <f t="shared" ref="AB122:AB123" si="42">B122</f>
        <v>Yorbe Vertessen (A)</v>
      </c>
    </row>
    <row r="123" spans="1:28" ht="10.5" customHeight="1" x14ac:dyDescent="0.2">
      <c r="A123" s="200">
        <v>16</v>
      </c>
      <c r="B123" s="194" t="s">
        <v>420</v>
      </c>
      <c r="C123" s="194" t="s">
        <v>3</v>
      </c>
      <c r="D123" s="195" t="s">
        <v>59</v>
      </c>
      <c r="E123" s="195" t="s">
        <v>59</v>
      </c>
      <c r="F123" s="195" t="s">
        <v>59</v>
      </c>
      <c r="G123" s="195" t="s">
        <v>59</v>
      </c>
      <c r="H123" s="196"/>
      <c r="I123" s="195"/>
      <c r="J123" s="180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AB123" s="174" t="str">
        <f t="shared" si="42"/>
        <v>Benedict Hollerbach</v>
      </c>
    </row>
    <row r="124" spans="1:28" ht="15" customHeight="1" thickBot="1" x14ac:dyDescent="0.25">
      <c r="A124" s="219" t="s">
        <v>129</v>
      </c>
      <c r="B124" s="219"/>
      <c r="C124" s="219"/>
      <c r="D124" s="219"/>
      <c r="E124" s="219"/>
      <c r="F124" s="219"/>
      <c r="G124" s="219"/>
      <c r="H124" s="219"/>
      <c r="I124" s="219"/>
      <c r="J124" s="10"/>
      <c r="K124" s="175">
        <v>12</v>
      </c>
      <c r="L124" s="175">
        <v>12</v>
      </c>
      <c r="M124" s="175">
        <v>12</v>
      </c>
      <c r="N124" s="175">
        <v>12</v>
      </c>
      <c r="O124" s="175">
        <v>12</v>
      </c>
      <c r="P124" s="175">
        <v>12</v>
      </c>
      <c r="Q124" s="175">
        <v>12</v>
      </c>
      <c r="R124" s="175">
        <v>12</v>
      </c>
      <c r="S124" s="175">
        <v>12</v>
      </c>
      <c r="T124" s="175">
        <v>12</v>
      </c>
      <c r="U124" s="175">
        <v>12</v>
      </c>
      <c r="V124" s="175">
        <v>12</v>
      </c>
      <c r="W124" s="175">
        <v>12</v>
      </c>
      <c r="X124" s="175">
        <v>12</v>
      </c>
      <c r="Y124" s="175">
        <v>12</v>
      </c>
      <c r="Z124" s="216"/>
      <c r="AB124" s="174" t="str">
        <f>A124</f>
        <v>SC Freiburg</v>
      </c>
    </row>
    <row r="125" spans="1:28" ht="10.5" customHeight="1" x14ac:dyDescent="0.2">
      <c r="A125" s="176">
        <v>1</v>
      </c>
      <c r="B125" s="177" t="s">
        <v>278</v>
      </c>
      <c r="C125" s="177" t="s">
        <v>0</v>
      </c>
      <c r="D125" s="178" t="s">
        <v>59</v>
      </c>
      <c r="E125" s="178" t="s">
        <v>59</v>
      </c>
      <c r="F125" s="179" t="s">
        <v>59</v>
      </c>
      <c r="G125" s="179" t="s">
        <v>59</v>
      </c>
      <c r="H125" s="179"/>
      <c r="I125" s="178"/>
      <c r="J125" s="180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AB125" s="174" t="str">
        <f t="shared" ref="AB125:AB153" si="43">B125</f>
        <v>Noah Atubolu</v>
      </c>
    </row>
    <row r="126" spans="1:28" ht="10.5" customHeight="1" x14ac:dyDescent="0.2">
      <c r="A126" s="176">
        <v>21</v>
      </c>
      <c r="B126" s="177" t="s">
        <v>153</v>
      </c>
      <c r="C126" s="177" t="s">
        <v>0</v>
      </c>
      <c r="D126" s="178" t="s">
        <v>59</v>
      </c>
      <c r="E126" s="178" t="s">
        <v>59</v>
      </c>
      <c r="F126" s="179" t="s">
        <v>59</v>
      </c>
      <c r="G126" s="179" t="s">
        <v>59</v>
      </c>
      <c r="H126" s="179"/>
      <c r="I126" s="178"/>
      <c r="J126" s="180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AB126" s="174" t="str">
        <f t="shared" ref="AB126:AB129" si="44">B126</f>
        <v>Florian Müller</v>
      </c>
    </row>
    <row r="127" spans="1:28" ht="10.5" customHeight="1" x14ac:dyDescent="0.2">
      <c r="A127" s="176">
        <v>31</v>
      </c>
      <c r="B127" s="177" t="s">
        <v>232</v>
      </c>
      <c r="C127" s="177" t="s">
        <v>0</v>
      </c>
      <c r="D127" s="178" t="s">
        <v>59</v>
      </c>
      <c r="E127" s="178" t="s">
        <v>59</v>
      </c>
      <c r="F127" s="179" t="s">
        <v>59</v>
      </c>
      <c r="G127" s="179" t="s">
        <v>59</v>
      </c>
      <c r="H127" s="179"/>
      <c r="I127" s="178"/>
      <c r="J127" s="180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AB127" s="174" t="str">
        <f t="shared" si="44"/>
        <v>Benjamin Uphoff</v>
      </c>
    </row>
    <row r="128" spans="1:28" ht="10.5" customHeight="1" x14ac:dyDescent="0.2">
      <c r="A128" s="176">
        <v>58</v>
      </c>
      <c r="B128" s="177" t="s">
        <v>628</v>
      </c>
      <c r="C128" s="177" t="s">
        <v>0</v>
      </c>
      <c r="D128" s="178" t="s">
        <v>59</v>
      </c>
      <c r="E128" s="178" t="s">
        <v>59</v>
      </c>
      <c r="F128" s="179" t="s">
        <v>59</v>
      </c>
      <c r="G128" s="179" t="s">
        <v>59</v>
      </c>
      <c r="H128" s="179"/>
      <c r="I128" s="178"/>
      <c r="J128" s="180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AB128" s="174" t="str">
        <f t="shared" ref="AB128" si="45">B128</f>
        <v>Niklas Sauter</v>
      </c>
    </row>
    <row r="129" spans="1:28" ht="10.5" customHeight="1" x14ac:dyDescent="0.2">
      <c r="A129" s="176">
        <v>67</v>
      </c>
      <c r="B129" s="177" t="s">
        <v>629</v>
      </c>
      <c r="C129" s="177" t="s">
        <v>0</v>
      </c>
      <c r="D129" s="178" t="s">
        <v>59</v>
      </c>
      <c r="E129" s="178" t="s">
        <v>59</v>
      </c>
      <c r="F129" s="179" t="s">
        <v>59</v>
      </c>
      <c r="G129" s="179" t="s">
        <v>59</v>
      </c>
      <c r="H129" s="179"/>
      <c r="I129" s="178"/>
      <c r="J129" s="180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AB129" s="174" t="str">
        <f t="shared" si="44"/>
        <v>Jaaso Jantunen (A)</v>
      </c>
    </row>
    <row r="130" spans="1:28" ht="10.5" customHeight="1" x14ac:dyDescent="0.2">
      <c r="A130" s="203">
        <v>3</v>
      </c>
      <c r="B130" s="184" t="s">
        <v>161</v>
      </c>
      <c r="C130" s="184" t="s">
        <v>1</v>
      </c>
      <c r="D130" s="185" t="s">
        <v>59</v>
      </c>
      <c r="E130" s="185" t="s">
        <v>59</v>
      </c>
      <c r="F130" s="186" t="s">
        <v>59</v>
      </c>
      <c r="G130" s="186" t="s">
        <v>59</v>
      </c>
      <c r="H130" s="186"/>
      <c r="I130" s="185"/>
      <c r="J130" s="180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AB130" s="174" t="str">
        <f>B130</f>
        <v>Philipp Lienhart (A)</v>
      </c>
    </row>
    <row r="131" spans="1:28" ht="10.5" customHeight="1" x14ac:dyDescent="0.2">
      <c r="A131" s="203">
        <v>4</v>
      </c>
      <c r="B131" s="184" t="s">
        <v>385</v>
      </c>
      <c r="C131" s="184" t="s">
        <v>1</v>
      </c>
      <c r="D131" s="185" t="s">
        <v>59</v>
      </c>
      <c r="E131" s="185" t="s">
        <v>59</v>
      </c>
      <c r="F131" s="186" t="s">
        <v>59</v>
      </c>
      <c r="G131" s="186" t="s">
        <v>59</v>
      </c>
      <c r="H131" s="186"/>
      <c r="I131" s="185"/>
      <c r="J131" s="180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AB131" s="174" t="str">
        <f t="shared" ref="AB131:AB136" si="46">B131</f>
        <v>Kenneth Schmidt</v>
      </c>
    </row>
    <row r="132" spans="1:28" ht="10.5" customHeight="1" x14ac:dyDescent="0.2">
      <c r="A132" s="203">
        <v>5</v>
      </c>
      <c r="B132" s="184" t="s">
        <v>152</v>
      </c>
      <c r="C132" s="184" t="s">
        <v>1</v>
      </c>
      <c r="D132" s="185" t="s">
        <v>59</v>
      </c>
      <c r="E132" s="185" t="s">
        <v>59</v>
      </c>
      <c r="F132" s="186" t="s">
        <v>59</v>
      </c>
      <c r="G132" s="186" t="s">
        <v>59</v>
      </c>
      <c r="H132" s="186"/>
      <c r="I132" s="185"/>
      <c r="J132" s="180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AB132" s="174" t="str">
        <f t="shared" ref="AB132:AB135" si="47">B132</f>
        <v>Manuel Gulde</v>
      </c>
    </row>
    <row r="133" spans="1:28" ht="10.5" customHeight="1" x14ac:dyDescent="0.2">
      <c r="A133" s="203">
        <v>6</v>
      </c>
      <c r="B133" s="184" t="s">
        <v>459</v>
      </c>
      <c r="C133" s="184" t="s">
        <v>1</v>
      </c>
      <c r="D133" s="185" t="s">
        <v>59</v>
      </c>
      <c r="E133" s="185" t="s">
        <v>59</v>
      </c>
      <c r="F133" s="186" t="s">
        <v>59</v>
      </c>
      <c r="G133" s="186" t="s">
        <v>59</v>
      </c>
      <c r="H133" s="186"/>
      <c r="I133" s="185"/>
      <c r="J133" s="180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AB133" s="174" t="str">
        <f t="shared" ref="AB133" si="48">B133</f>
        <v>Attila Szalai (A)</v>
      </c>
    </row>
    <row r="134" spans="1:28" ht="10.5" customHeight="1" x14ac:dyDescent="0.2">
      <c r="A134" s="203">
        <v>17</v>
      </c>
      <c r="B134" s="184" t="s">
        <v>146</v>
      </c>
      <c r="C134" s="184" t="s">
        <v>1</v>
      </c>
      <c r="D134" s="185" t="s">
        <v>59</v>
      </c>
      <c r="E134" s="185" t="s">
        <v>59</v>
      </c>
      <c r="F134" s="186" t="s">
        <v>59</v>
      </c>
      <c r="G134" s="186" t="s">
        <v>59</v>
      </c>
      <c r="H134" s="186"/>
      <c r="I134" s="185"/>
      <c r="J134" s="180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AB134" s="174" t="str">
        <f t="shared" si="47"/>
        <v>Lukas Kübler</v>
      </c>
    </row>
    <row r="135" spans="1:28" ht="10.5" customHeight="1" x14ac:dyDescent="0.2">
      <c r="A135" s="203">
        <v>25</v>
      </c>
      <c r="B135" s="184" t="s">
        <v>258</v>
      </c>
      <c r="C135" s="184" t="s">
        <v>1</v>
      </c>
      <c r="D135" s="185" t="s">
        <v>59</v>
      </c>
      <c r="E135" s="185" t="s">
        <v>59</v>
      </c>
      <c r="F135" s="186" t="s">
        <v>59</v>
      </c>
      <c r="G135" s="186" t="s">
        <v>59</v>
      </c>
      <c r="H135" s="186"/>
      <c r="I135" s="185"/>
      <c r="J135" s="180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AB135" s="174" t="str">
        <f t="shared" si="47"/>
        <v>Kiliann Sildillia (A)</v>
      </c>
    </row>
    <row r="136" spans="1:28" ht="10.5" customHeight="1" x14ac:dyDescent="0.2">
      <c r="A136" s="203">
        <v>28</v>
      </c>
      <c r="B136" s="184" t="s">
        <v>109</v>
      </c>
      <c r="C136" s="184" t="s">
        <v>1</v>
      </c>
      <c r="D136" s="185" t="s">
        <v>59</v>
      </c>
      <c r="E136" s="185" t="s">
        <v>59</v>
      </c>
      <c r="F136" s="186" t="s">
        <v>59</v>
      </c>
      <c r="G136" s="186" t="s">
        <v>59</v>
      </c>
      <c r="H136" s="186"/>
      <c r="I136" s="185"/>
      <c r="J136" s="180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AB136" s="174" t="str">
        <f t="shared" si="46"/>
        <v>Matthias Ginter</v>
      </c>
    </row>
    <row r="137" spans="1:28" ht="10.5" customHeight="1" x14ac:dyDescent="0.2">
      <c r="A137" s="203">
        <v>30</v>
      </c>
      <c r="B137" s="184" t="s">
        <v>151</v>
      </c>
      <c r="C137" s="184" t="s">
        <v>1</v>
      </c>
      <c r="D137" s="185" t="s">
        <v>59</v>
      </c>
      <c r="E137" s="185" t="s">
        <v>59</v>
      </c>
      <c r="F137" s="186" t="s">
        <v>59</v>
      </c>
      <c r="G137" s="186" t="s">
        <v>59</v>
      </c>
      <c r="H137" s="186"/>
      <c r="I137" s="185"/>
      <c r="J137" s="180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AB137" s="174" t="str">
        <f t="shared" ref="AB137:AB139" si="49">B137</f>
        <v>Christian Günter</v>
      </c>
    </row>
    <row r="138" spans="1:28" ht="10.5" customHeight="1" x14ac:dyDescent="0.2">
      <c r="A138" s="203">
        <v>33</v>
      </c>
      <c r="B138" s="184" t="s">
        <v>421</v>
      </c>
      <c r="C138" s="184" t="s">
        <v>1</v>
      </c>
      <c r="D138" s="185" t="s">
        <v>59</v>
      </c>
      <c r="E138" s="185" t="s">
        <v>59</v>
      </c>
      <c r="F138" s="186" t="s">
        <v>59</v>
      </c>
      <c r="G138" s="186" t="s">
        <v>59</v>
      </c>
      <c r="H138" s="186"/>
      <c r="I138" s="185"/>
      <c r="J138" s="180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AB138" s="174" t="str">
        <f t="shared" si="49"/>
        <v>Jordy Makengo (A)</v>
      </c>
    </row>
    <row r="139" spans="1:28" ht="10.5" customHeight="1" x14ac:dyDescent="0.2">
      <c r="A139" s="203">
        <v>37</v>
      </c>
      <c r="B139" s="184" t="s">
        <v>422</v>
      </c>
      <c r="C139" s="184" t="s">
        <v>1</v>
      </c>
      <c r="D139" s="185" t="s">
        <v>59</v>
      </c>
      <c r="E139" s="185" t="s">
        <v>59</v>
      </c>
      <c r="F139" s="186" t="s">
        <v>59</v>
      </c>
      <c r="G139" s="186" t="s">
        <v>59</v>
      </c>
      <c r="H139" s="186"/>
      <c r="I139" s="185"/>
      <c r="J139" s="180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AB139" s="174" t="str">
        <f t="shared" si="49"/>
        <v>Max Rosenfelder</v>
      </c>
    </row>
    <row r="140" spans="1:28" ht="10.5" customHeight="1" x14ac:dyDescent="0.2">
      <c r="A140" s="199">
        <v>7</v>
      </c>
      <c r="B140" s="189" t="s">
        <v>279</v>
      </c>
      <c r="C140" s="189" t="s">
        <v>2</v>
      </c>
      <c r="D140" s="190" t="s">
        <v>59</v>
      </c>
      <c r="E140" s="190" t="s">
        <v>59</v>
      </c>
      <c r="F140" s="191" t="s">
        <v>59</v>
      </c>
      <c r="G140" s="191" t="s">
        <v>59</v>
      </c>
      <c r="H140" s="191"/>
      <c r="I140" s="190"/>
      <c r="J140" s="180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AB140" s="174" t="str">
        <f t="shared" ref="AB140" si="50">B140</f>
        <v>Noah Weisshaupt</v>
      </c>
    </row>
    <row r="141" spans="1:28" ht="10.5" customHeight="1" x14ac:dyDescent="0.2">
      <c r="A141" s="199">
        <v>8</v>
      </c>
      <c r="B141" s="189" t="s">
        <v>307</v>
      </c>
      <c r="C141" s="189" t="s">
        <v>2</v>
      </c>
      <c r="D141" s="190" t="s">
        <v>59</v>
      </c>
      <c r="E141" s="190" t="s">
        <v>59</v>
      </c>
      <c r="F141" s="191" t="s">
        <v>59</v>
      </c>
      <c r="G141" s="191" t="s">
        <v>59</v>
      </c>
      <c r="H141" s="191"/>
      <c r="I141" s="190"/>
      <c r="J141" s="180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AB141" s="174" t="str">
        <f t="shared" ref="AB141:AB152" si="51">B141</f>
        <v>Maximilian Eggestein</v>
      </c>
    </row>
    <row r="142" spans="1:28" ht="10.5" customHeight="1" x14ac:dyDescent="0.2">
      <c r="A142" s="199">
        <v>11</v>
      </c>
      <c r="B142" s="189" t="s">
        <v>336</v>
      </c>
      <c r="C142" s="189" t="s">
        <v>2</v>
      </c>
      <c r="D142" s="190" t="s">
        <v>59</v>
      </c>
      <c r="E142" s="190" t="s">
        <v>59</v>
      </c>
      <c r="F142" s="191" t="s">
        <v>59</v>
      </c>
      <c r="G142" s="191" t="s">
        <v>59</v>
      </c>
      <c r="H142" s="191"/>
      <c r="I142" s="190"/>
      <c r="J142" s="180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AB142" s="174" t="str">
        <f t="shared" si="51"/>
        <v>Daniel-Kofi Kyereh</v>
      </c>
    </row>
    <row r="143" spans="1:28" ht="10.5" customHeight="1" x14ac:dyDescent="0.2">
      <c r="A143" s="199">
        <v>14</v>
      </c>
      <c r="B143" s="189" t="s">
        <v>222</v>
      </c>
      <c r="C143" s="189" t="s">
        <v>2</v>
      </c>
      <c r="D143" s="190" t="s">
        <v>59</v>
      </c>
      <c r="E143" s="190" t="s">
        <v>59</v>
      </c>
      <c r="F143" s="191" t="s">
        <v>59</v>
      </c>
      <c r="G143" s="191" t="s">
        <v>59</v>
      </c>
      <c r="H143" s="191"/>
      <c r="I143" s="190"/>
      <c r="J143" s="180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AB143" s="174" t="str">
        <f t="shared" si="51"/>
        <v>Yannik Keitel</v>
      </c>
    </row>
    <row r="144" spans="1:28" ht="10.5" customHeight="1" x14ac:dyDescent="0.2">
      <c r="A144" s="199">
        <v>22</v>
      </c>
      <c r="B144" s="189" t="s">
        <v>198</v>
      </c>
      <c r="C144" s="189" t="s">
        <v>2</v>
      </c>
      <c r="D144" s="190" t="s">
        <v>59</v>
      </c>
      <c r="E144" s="190" t="s">
        <v>59</v>
      </c>
      <c r="F144" s="191" t="s">
        <v>59</v>
      </c>
      <c r="G144" s="191" t="s">
        <v>59</v>
      </c>
      <c r="H144" s="191"/>
      <c r="I144" s="190"/>
      <c r="J144" s="180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AB144" s="174" t="str">
        <f t="shared" si="51"/>
        <v>Roland Sallai (A)</v>
      </c>
    </row>
    <row r="145" spans="1:28" ht="10.5" customHeight="1" x14ac:dyDescent="0.2">
      <c r="A145" s="199">
        <v>23</v>
      </c>
      <c r="B145" s="189" t="s">
        <v>656</v>
      </c>
      <c r="C145" s="189" t="s">
        <v>2</v>
      </c>
      <c r="D145" s="190" t="s">
        <v>59</v>
      </c>
      <c r="E145" s="190" t="s">
        <v>59</v>
      </c>
      <c r="F145" s="191" t="s">
        <v>59</v>
      </c>
      <c r="G145" s="191" t="s">
        <v>59</v>
      </c>
      <c r="H145" s="191"/>
      <c r="I145" s="190"/>
      <c r="J145" s="180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AB145" s="174" t="str">
        <f t="shared" ref="AB145" si="52">B145</f>
        <v>Florent Muslija</v>
      </c>
    </row>
    <row r="146" spans="1:28" ht="10.5" customHeight="1" x14ac:dyDescent="0.2">
      <c r="A146" s="199">
        <v>27</v>
      </c>
      <c r="B146" s="189" t="s">
        <v>141</v>
      </c>
      <c r="C146" s="189" t="s">
        <v>2</v>
      </c>
      <c r="D146" s="190" t="s">
        <v>59</v>
      </c>
      <c r="E146" s="190" t="s">
        <v>59</v>
      </c>
      <c r="F146" s="191" t="s">
        <v>59</v>
      </c>
      <c r="G146" s="191" t="s">
        <v>59</v>
      </c>
      <c r="H146" s="191"/>
      <c r="I146" s="190"/>
      <c r="J146" s="180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AB146" s="174" t="str">
        <f t="shared" si="51"/>
        <v>Nicolas Höfler</v>
      </c>
    </row>
    <row r="147" spans="1:28" ht="10.5" customHeight="1" x14ac:dyDescent="0.2">
      <c r="A147" s="199">
        <v>32</v>
      </c>
      <c r="B147" s="189" t="s">
        <v>393</v>
      </c>
      <c r="C147" s="189" t="s">
        <v>2</v>
      </c>
      <c r="D147" s="190" t="s">
        <v>59</v>
      </c>
      <c r="E147" s="190" t="s">
        <v>59</v>
      </c>
      <c r="F147" s="191" t="s">
        <v>59</v>
      </c>
      <c r="G147" s="191" t="s">
        <v>59</v>
      </c>
      <c r="H147" s="191"/>
      <c r="I147" s="190"/>
      <c r="J147" s="180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AB147" s="174" t="str">
        <f t="shared" si="51"/>
        <v>Vincenzo Grifo</v>
      </c>
    </row>
    <row r="148" spans="1:28" ht="10.5" customHeight="1" x14ac:dyDescent="0.2">
      <c r="A148" s="199">
        <v>34</v>
      </c>
      <c r="B148" s="189" t="s">
        <v>374</v>
      </c>
      <c r="C148" s="189" t="s">
        <v>2</v>
      </c>
      <c r="D148" s="190" t="s">
        <v>59</v>
      </c>
      <c r="E148" s="190" t="s">
        <v>59</v>
      </c>
      <c r="F148" s="191" t="s">
        <v>59</v>
      </c>
      <c r="G148" s="191" t="s">
        <v>59</v>
      </c>
      <c r="H148" s="191"/>
      <c r="I148" s="190"/>
      <c r="J148" s="180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AB148" s="174" t="str">
        <f t="shared" si="51"/>
        <v>Merlin Röhl</v>
      </c>
    </row>
    <row r="149" spans="1:28" ht="10.5" customHeight="1" x14ac:dyDescent="0.2">
      <c r="A149" s="199">
        <v>35</v>
      </c>
      <c r="B149" s="189" t="s">
        <v>617</v>
      </c>
      <c r="C149" s="189" t="s">
        <v>2</v>
      </c>
      <c r="D149" s="190" t="s">
        <v>59</v>
      </c>
      <c r="E149" s="190" t="s">
        <v>59</v>
      </c>
      <c r="F149" s="191" t="s">
        <v>59</v>
      </c>
      <c r="G149" s="191" t="s">
        <v>59</v>
      </c>
      <c r="H149" s="191"/>
      <c r="I149" s="190"/>
      <c r="J149" s="180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AB149" s="174" t="str">
        <f t="shared" si="51"/>
        <v>Fabian Rüdlin</v>
      </c>
    </row>
    <row r="150" spans="1:28" ht="10.5" customHeight="1" x14ac:dyDescent="0.2">
      <c r="A150" s="199">
        <v>42</v>
      </c>
      <c r="B150" s="189" t="s">
        <v>571</v>
      </c>
      <c r="C150" s="189" t="s">
        <v>2</v>
      </c>
      <c r="D150" s="190" t="s">
        <v>59</v>
      </c>
      <c r="E150" s="190" t="s">
        <v>59</v>
      </c>
      <c r="F150" s="191" t="s">
        <v>59</v>
      </c>
      <c r="G150" s="191" t="s">
        <v>59</v>
      </c>
      <c r="H150" s="191"/>
      <c r="I150" s="190"/>
      <c r="J150" s="180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AB150" s="174" t="str">
        <f t="shared" ref="AB150:AB151" si="53">B150</f>
        <v>Ritsu Dōan (A)</v>
      </c>
    </row>
    <row r="151" spans="1:28" ht="10.5" customHeight="1" x14ac:dyDescent="0.2">
      <c r="A151" s="199">
        <v>43</v>
      </c>
      <c r="B151" s="189" t="s">
        <v>630</v>
      </c>
      <c r="C151" s="189" t="s">
        <v>2</v>
      </c>
      <c r="D151" s="190" t="s">
        <v>59</v>
      </c>
      <c r="E151" s="190" t="s">
        <v>59</v>
      </c>
      <c r="F151" s="191" t="s">
        <v>59</v>
      </c>
      <c r="G151" s="191" t="s">
        <v>59</v>
      </c>
      <c r="H151" s="191"/>
      <c r="I151" s="190"/>
      <c r="J151" s="180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AB151" s="174" t="str">
        <f t="shared" si="53"/>
        <v>Ryan Johansson (A)</v>
      </c>
    </row>
    <row r="152" spans="1:28" ht="10.5" customHeight="1" x14ac:dyDescent="0.2">
      <c r="A152" s="199">
        <v>54</v>
      </c>
      <c r="B152" s="189" t="s">
        <v>549</v>
      </c>
      <c r="C152" s="189" t="s">
        <v>2</v>
      </c>
      <c r="D152" s="190" t="s">
        <v>59</v>
      </c>
      <c r="E152" s="190" t="s">
        <v>59</v>
      </c>
      <c r="F152" s="191" t="s">
        <v>59</v>
      </c>
      <c r="G152" s="191" t="s">
        <v>59</v>
      </c>
      <c r="H152" s="191"/>
      <c r="I152" s="190"/>
      <c r="J152" s="180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AB152" s="174" t="str">
        <f t="shared" si="51"/>
        <v>Mika Baur</v>
      </c>
    </row>
    <row r="153" spans="1:28" ht="10.5" customHeight="1" x14ac:dyDescent="0.2">
      <c r="A153" s="200">
        <v>9</v>
      </c>
      <c r="B153" s="194" t="s">
        <v>170</v>
      </c>
      <c r="C153" s="194" t="s">
        <v>3</v>
      </c>
      <c r="D153" s="195" t="s">
        <v>59</v>
      </c>
      <c r="E153" s="195" t="s">
        <v>59</v>
      </c>
      <c r="F153" s="196" t="s">
        <v>59</v>
      </c>
      <c r="G153" s="196" t="s">
        <v>59</v>
      </c>
      <c r="H153" s="196"/>
      <c r="I153" s="195"/>
      <c r="J153" s="180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AB153" s="174" t="str">
        <f t="shared" si="43"/>
        <v>Lucas Höler</v>
      </c>
    </row>
    <row r="154" spans="1:28" ht="10.5" customHeight="1" x14ac:dyDescent="0.2">
      <c r="A154" s="200">
        <v>20</v>
      </c>
      <c r="B154" s="194" t="s">
        <v>423</v>
      </c>
      <c r="C154" s="194" t="s">
        <v>3</v>
      </c>
      <c r="D154" s="195" t="s">
        <v>59</v>
      </c>
      <c r="E154" s="195" t="s">
        <v>59</v>
      </c>
      <c r="F154" s="196" t="s">
        <v>59</v>
      </c>
      <c r="G154" s="196" t="s">
        <v>59</v>
      </c>
      <c r="H154" s="196"/>
      <c r="I154" s="195"/>
      <c r="J154" s="180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AB154" s="174" t="str">
        <f t="shared" ref="AB154:AB157" si="54">B154</f>
        <v>Junior Adamu (A)</v>
      </c>
    </row>
    <row r="155" spans="1:28" ht="10.5" customHeight="1" x14ac:dyDescent="0.2">
      <c r="A155" s="200">
        <v>26</v>
      </c>
      <c r="B155" s="194" t="s">
        <v>251</v>
      </c>
      <c r="C155" s="194" t="s">
        <v>3</v>
      </c>
      <c r="D155" s="195" t="s">
        <v>59</v>
      </c>
      <c r="E155" s="195" t="s">
        <v>59</v>
      </c>
      <c r="F155" s="196" t="s">
        <v>59</v>
      </c>
      <c r="G155" s="196" t="s">
        <v>59</v>
      </c>
      <c r="H155" s="196"/>
      <c r="I155" s="195"/>
      <c r="J155" s="180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AB155" s="174" t="str">
        <f t="shared" si="54"/>
        <v>Maximilian Philipp</v>
      </c>
    </row>
    <row r="156" spans="1:28" ht="10.5" customHeight="1" x14ac:dyDescent="0.2">
      <c r="A156" s="200">
        <v>38</v>
      </c>
      <c r="B156" s="194" t="s">
        <v>236</v>
      </c>
      <c r="C156" s="194" t="s">
        <v>3</v>
      </c>
      <c r="D156" s="195" t="s">
        <v>59</v>
      </c>
      <c r="E156" s="195" t="s">
        <v>59</v>
      </c>
      <c r="F156" s="196" t="s">
        <v>59</v>
      </c>
      <c r="G156" s="196" t="s">
        <v>59</v>
      </c>
      <c r="H156" s="196"/>
      <c r="I156" s="195"/>
      <c r="J156" s="180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AB156" s="174" t="str">
        <f t="shared" ref="AB156" si="55">B156</f>
        <v>Michael Gregoritsch (A)</v>
      </c>
    </row>
    <row r="157" spans="1:28" ht="10.5" customHeight="1" x14ac:dyDescent="0.2">
      <c r="A157" s="200">
        <v>44</v>
      </c>
      <c r="B157" s="194" t="s">
        <v>550</v>
      </c>
      <c r="C157" s="194" t="s">
        <v>3</v>
      </c>
      <c r="D157" s="195" t="s">
        <v>59</v>
      </c>
      <c r="E157" s="195" t="s">
        <v>59</v>
      </c>
      <c r="F157" s="196" t="s">
        <v>59</v>
      </c>
      <c r="G157" s="196" t="s">
        <v>59</v>
      </c>
      <c r="H157" s="196"/>
      <c r="I157" s="195"/>
      <c r="J157" s="180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AB157" s="174" t="str">
        <f t="shared" si="54"/>
        <v>Maximilian Breunig</v>
      </c>
    </row>
    <row r="158" spans="1:28" ht="15" customHeight="1" thickBot="1" x14ac:dyDescent="0.25">
      <c r="A158" s="218" t="s">
        <v>30</v>
      </c>
      <c r="B158" s="218"/>
      <c r="C158" s="218"/>
      <c r="D158" s="218"/>
      <c r="E158" s="218"/>
      <c r="F158" s="218"/>
      <c r="G158" s="218"/>
      <c r="H158" s="218"/>
      <c r="I158" s="218"/>
      <c r="J158" s="10"/>
      <c r="K158" s="175">
        <v>12</v>
      </c>
      <c r="L158" s="175">
        <v>12</v>
      </c>
      <c r="M158" s="175">
        <v>12</v>
      </c>
      <c r="N158" s="175">
        <v>12</v>
      </c>
      <c r="O158" s="175">
        <v>12</v>
      </c>
      <c r="P158" s="175">
        <v>12</v>
      </c>
      <c r="Q158" s="175">
        <v>12</v>
      </c>
      <c r="R158" s="175">
        <v>12</v>
      </c>
      <c r="S158" s="175">
        <v>12</v>
      </c>
      <c r="T158" s="175">
        <v>12</v>
      </c>
      <c r="U158" s="175">
        <v>12</v>
      </c>
      <c r="V158" s="175">
        <v>12</v>
      </c>
      <c r="W158" s="175">
        <v>12</v>
      </c>
      <c r="X158" s="175">
        <v>12</v>
      </c>
      <c r="Y158" s="175">
        <v>12</v>
      </c>
      <c r="Z158" s="216"/>
      <c r="AB158" s="174" t="str">
        <f>A158</f>
        <v>Bayer Leverkusen</v>
      </c>
    </row>
    <row r="159" spans="1:28" s="113" customFormat="1" ht="10.5" customHeight="1" x14ac:dyDescent="0.2">
      <c r="A159" s="176">
        <v>1</v>
      </c>
      <c r="B159" s="177" t="s">
        <v>572</v>
      </c>
      <c r="C159" s="177" t="s">
        <v>0</v>
      </c>
      <c r="D159" s="178" t="s">
        <v>59</v>
      </c>
      <c r="E159" s="178" t="s">
        <v>59</v>
      </c>
      <c r="F159" s="179" t="s">
        <v>59</v>
      </c>
      <c r="G159" s="179" t="s">
        <v>59</v>
      </c>
      <c r="H159" s="179"/>
      <c r="I159" s="178"/>
      <c r="J159" s="180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71"/>
      <c r="AB159" s="174" t="str">
        <f>B159</f>
        <v>Lukáš Hrádecký (A)</v>
      </c>
    </row>
    <row r="160" spans="1:28" s="113" customFormat="1" ht="10.5" customHeight="1" x14ac:dyDescent="0.2">
      <c r="A160" s="176">
        <v>17</v>
      </c>
      <c r="B160" s="177" t="s">
        <v>573</v>
      </c>
      <c r="C160" s="177" t="s">
        <v>0</v>
      </c>
      <c r="D160" s="178" t="s">
        <v>59</v>
      </c>
      <c r="E160" s="178" t="s">
        <v>59</v>
      </c>
      <c r="F160" s="179" t="s">
        <v>59</v>
      </c>
      <c r="G160" s="179" t="s">
        <v>59</v>
      </c>
      <c r="H160" s="179"/>
      <c r="I160" s="178"/>
      <c r="J160" s="180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71"/>
      <c r="AB160" s="174" t="str">
        <f t="shared" ref="AB160" si="56">B160</f>
        <v>Matěj Kovář (A)</v>
      </c>
    </row>
    <row r="161" spans="1:28" s="113" customFormat="1" ht="10.5" customHeight="1" x14ac:dyDescent="0.2">
      <c r="A161" s="176">
        <v>36</v>
      </c>
      <c r="B161" s="177" t="s">
        <v>185</v>
      </c>
      <c r="C161" s="177" t="s">
        <v>0</v>
      </c>
      <c r="D161" s="178" t="s">
        <v>59</v>
      </c>
      <c r="E161" s="178" t="s">
        <v>59</v>
      </c>
      <c r="F161" s="179" t="s">
        <v>59</v>
      </c>
      <c r="G161" s="179" t="s">
        <v>59</v>
      </c>
      <c r="H161" s="179"/>
      <c r="I161" s="178"/>
      <c r="J161" s="180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71"/>
      <c r="AB161" s="174" t="str">
        <f t="shared" ref="AB161:AB162" si="57">B161</f>
        <v>Niklas Lomb</v>
      </c>
    </row>
    <row r="162" spans="1:28" s="113" customFormat="1" ht="10.5" customHeight="1" x14ac:dyDescent="0.2">
      <c r="A162" s="197">
        <v>2</v>
      </c>
      <c r="B162" s="198" t="s">
        <v>574</v>
      </c>
      <c r="C162" s="184" t="s">
        <v>1</v>
      </c>
      <c r="D162" s="185" t="s">
        <v>59</v>
      </c>
      <c r="E162" s="185" t="s">
        <v>59</v>
      </c>
      <c r="F162" s="186" t="s">
        <v>59</v>
      </c>
      <c r="G162" s="186" t="s">
        <v>59</v>
      </c>
      <c r="H162" s="186"/>
      <c r="I162" s="185"/>
      <c r="J162" s="180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71"/>
      <c r="AB162" s="174" t="str">
        <f t="shared" si="57"/>
        <v>Josip Stanišić</v>
      </c>
    </row>
    <row r="163" spans="1:28" s="113" customFormat="1" ht="10.5" customHeight="1" x14ac:dyDescent="0.2">
      <c r="A163" s="197">
        <v>3</v>
      </c>
      <c r="B163" s="198" t="s">
        <v>306</v>
      </c>
      <c r="C163" s="184" t="s">
        <v>1</v>
      </c>
      <c r="D163" s="185" t="s">
        <v>59</v>
      </c>
      <c r="E163" s="185" t="s">
        <v>59</v>
      </c>
      <c r="F163" s="186" t="s">
        <v>59</v>
      </c>
      <c r="G163" s="186" t="s">
        <v>59</v>
      </c>
      <c r="H163" s="186"/>
      <c r="I163" s="185"/>
      <c r="J163" s="180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71"/>
      <c r="AB163" s="174" t="str">
        <f t="shared" ref="AB163:AB176" si="58">B163</f>
        <v>Piero Hincapie (A)</v>
      </c>
    </row>
    <row r="164" spans="1:28" s="113" customFormat="1" ht="10.5" customHeight="1" x14ac:dyDescent="0.2">
      <c r="A164" s="197">
        <v>4</v>
      </c>
      <c r="B164" s="198" t="s">
        <v>117</v>
      </c>
      <c r="C164" s="184" t="s">
        <v>1</v>
      </c>
      <c r="D164" s="185" t="s">
        <v>59</v>
      </c>
      <c r="E164" s="185" t="s">
        <v>59</v>
      </c>
      <c r="F164" s="186" t="s">
        <v>59</v>
      </c>
      <c r="G164" s="186" t="s">
        <v>59</v>
      </c>
      <c r="H164" s="186"/>
      <c r="I164" s="185"/>
      <c r="J164" s="180"/>
      <c r="K164" s="181"/>
      <c r="L164" s="181"/>
      <c r="M164" s="181">
        <v>4</v>
      </c>
      <c r="N164" s="181">
        <v>3</v>
      </c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71"/>
      <c r="AB164" s="174" t="str">
        <f t="shared" ref="AB164" si="59">B164</f>
        <v>Jonathan Tah</v>
      </c>
    </row>
    <row r="165" spans="1:28" s="113" customFormat="1" ht="10.5" customHeight="1" x14ac:dyDescent="0.2">
      <c r="A165" s="197">
        <v>6</v>
      </c>
      <c r="B165" s="198" t="s">
        <v>270</v>
      </c>
      <c r="C165" s="184" t="s">
        <v>1</v>
      </c>
      <c r="D165" s="185" t="s">
        <v>59</v>
      </c>
      <c r="E165" s="185" t="s">
        <v>59</v>
      </c>
      <c r="F165" s="186" t="s">
        <v>59</v>
      </c>
      <c r="G165" s="186" t="s">
        <v>59</v>
      </c>
      <c r="H165" s="186"/>
      <c r="I165" s="185"/>
      <c r="J165" s="180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71"/>
      <c r="AB165" s="174" t="str">
        <f t="shared" si="58"/>
        <v>Odilou Kossounou (A)</v>
      </c>
    </row>
    <row r="166" spans="1:28" s="113" customFormat="1" ht="10.5" customHeight="1" x14ac:dyDescent="0.2">
      <c r="A166" s="197">
        <v>12</v>
      </c>
      <c r="B166" s="198" t="s">
        <v>218</v>
      </c>
      <c r="C166" s="184" t="s">
        <v>1</v>
      </c>
      <c r="D166" s="185" t="s">
        <v>59</v>
      </c>
      <c r="E166" s="185" t="s">
        <v>59</v>
      </c>
      <c r="F166" s="186" t="s">
        <v>59</v>
      </c>
      <c r="G166" s="186" t="s">
        <v>59</v>
      </c>
      <c r="H166" s="186"/>
      <c r="I166" s="185"/>
      <c r="J166" s="180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71"/>
      <c r="AB166" s="174" t="str">
        <f t="shared" ref="AB166" si="60">B166</f>
        <v>Edmond Tapsoba (A)</v>
      </c>
    </row>
    <row r="167" spans="1:28" s="113" customFormat="1" ht="10.5" customHeight="1" x14ac:dyDescent="0.2">
      <c r="A167" s="197">
        <v>13</v>
      </c>
      <c r="B167" s="198" t="s">
        <v>424</v>
      </c>
      <c r="C167" s="184" t="s">
        <v>1</v>
      </c>
      <c r="D167" s="185" t="s">
        <v>59</v>
      </c>
      <c r="E167" s="185" t="s">
        <v>59</v>
      </c>
      <c r="F167" s="186" t="s">
        <v>59</v>
      </c>
      <c r="G167" s="186" t="s">
        <v>59</v>
      </c>
      <c r="H167" s="186"/>
      <c r="I167" s="185"/>
      <c r="J167" s="180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71"/>
      <c r="AB167" s="174" t="str">
        <f t="shared" si="58"/>
        <v>Arthur (A)</v>
      </c>
    </row>
    <row r="168" spans="1:28" s="113" customFormat="1" ht="10.5" customHeight="1" x14ac:dyDescent="0.2">
      <c r="A168" s="197">
        <v>20</v>
      </c>
      <c r="B168" s="198" t="s">
        <v>655</v>
      </c>
      <c r="C168" s="184" t="s">
        <v>1</v>
      </c>
      <c r="D168" s="185" t="s">
        <v>59</v>
      </c>
      <c r="E168" s="185" t="s">
        <v>59</v>
      </c>
      <c r="F168" s="186" t="s">
        <v>59</v>
      </c>
      <c r="G168" s="186" t="s">
        <v>59</v>
      </c>
      <c r="H168" s="186"/>
      <c r="I168" s="185"/>
      <c r="J168" s="180"/>
      <c r="K168" s="181">
        <v>3</v>
      </c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71"/>
      <c r="AB168" s="174" t="str">
        <f t="shared" si="58"/>
        <v>Alejandro Grimaldo (A)</v>
      </c>
    </row>
    <row r="169" spans="1:28" s="113" customFormat="1" ht="10.5" customHeight="1" x14ac:dyDescent="0.2">
      <c r="A169" s="197">
        <v>24</v>
      </c>
      <c r="B169" s="198" t="s">
        <v>256</v>
      </c>
      <c r="C169" s="184" t="s">
        <v>1</v>
      </c>
      <c r="D169" s="185" t="s">
        <v>59</v>
      </c>
      <c r="E169" s="185" t="s">
        <v>59</v>
      </c>
      <c r="F169" s="186" t="s">
        <v>59</v>
      </c>
      <c r="G169" s="186" t="s">
        <v>59</v>
      </c>
      <c r="H169" s="186"/>
      <c r="I169" s="185"/>
      <c r="J169" s="180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71"/>
      <c r="AB169" s="174" t="str">
        <f t="shared" si="58"/>
        <v>Timothy Fosu-Mensah (A)</v>
      </c>
    </row>
    <row r="170" spans="1:28" s="113" customFormat="1" ht="10.5" customHeight="1" x14ac:dyDescent="0.2">
      <c r="A170" s="197">
        <v>30</v>
      </c>
      <c r="B170" s="198" t="s">
        <v>257</v>
      </c>
      <c r="C170" s="184" t="s">
        <v>1</v>
      </c>
      <c r="D170" s="185" t="s">
        <v>59</v>
      </c>
      <c r="E170" s="185" t="s">
        <v>59</v>
      </c>
      <c r="F170" s="186" t="s">
        <v>59</v>
      </c>
      <c r="G170" s="186" t="s">
        <v>59</v>
      </c>
      <c r="H170" s="186"/>
      <c r="I170" s="185"/>
      <c r="J170" s="180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71"/>
      <c r="AB170" s="174" t="str">
        <f t="shared" si="58"/>
        <v>Jeremie Frimpong (A)</v>
      </c>
    </row>
    <row r="171" spans="1:28" s="113" customFormat="1" ht="10.5" customHeight="1" x14ac:dyDescent="0.2">
      <c r="A171" s="197">
        <v>31</v>
      </c>
      <c r="B171" s="198" t="s">
        <v>425</v>
      </c>
      <c r="C171" s="184" t="s">
        <v>1</v>
      </c>
      <c r="D171" s="185" t="s">
        <v>59</v>
      </c>
      <c r="E171" s="185" t="s">
        <v>59</v>
      </c>
      <c r="F171" s="186" t="s">
        <v>59</v>
      </c>
      <c r="G171" s="186" t="s">
        <v>59</v>
      </c>
      <c r="H171" s="186"/>
      <c r="I171" s="185"/>
      <c r="J171" s="180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71"/>
      <c r="AB171" s="174" t="str">
        <f t="shared" ref="AB171" si="61">B171</f>
        <v>Madi Monamay (A)</v>
      </c>
    </row>
    <row r="172" spans="1:28" s="113" customFormat="1" ht="10.5" customHeight="1" x14ac:dyDescent="0.2">
      <c r="A172" s="197">
        <v>48</v>
      </c>
      <c r="B172" s="198" t="s">
        <v>558</v>
      </c>
      <c r="C172" s="184" t="s">
        <v>1</v>
      </c>
      <c r="D172" s="185" t="s">
        <v>59</v>
      </c>
      <c r="E172" s="185" t="s">
        <v>59</v>
      </c>
      <c r="F172" s="186" t="s">
        <v>59</v>
      </c>
      <c r="G172" s="186" t="s">
        <v>59</v>
      </c>
      <c r="H172" s="186"/>
      <c r="I172" s="185"/>
      <c r="J172" s="180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71"/>
      <c r="AB172" s="174" t="str">
        <f t="shared" si="58"/>
        <v>Reno Münz</v>
      </c>
    </row>
    <row r="173" spans="1:28" s="113" customFormat="1" ht="10.5" customHeight="1" x14ac:dyDescent="0.2">
      <c r="A173" s="201">
        <v>7</v>
      </c>
      <c r="B173" s="202" t="s">
        <v>115</v>
      </c>
      <c r="C173" s="202" t="s">
        <v>2</v>
      </c>
      <c r="D173" s="190" t="s">
        <v>59</v>
      </c>
      <c r="E173" s="190" t="s">
        <v>59</v>
      </c>
      <c r="F173" s="191" t="s">
        <v>59</v>
      </c>
      <c r="G173" s="191" t="s">
        <v>59</v>
      </c>
      <c r="H173" s="191"/>
      <c r="I173" s="190"/>
      <c r="J173" s="180"/>
      <c r="K173" s="181"/>
      <c r="L173" s="181">
        <v>7</v>
      </c>
      <c r="M173" s="181">
        <v>6</v>
      </c>
      <c r="N173" s="181"/>
      <c r="O173" s="181"/>
      <c r="P173" s="181">
        <v>6</v>
      </c>
      <c r="Q173" s="181"/>
      <c r="R173" s="181">
        <v>5</v>
      </c>
      <c r="S173" s="181">
        <v>8</v>
      </c>
      <c r="T173" s="181"/>
      <c r="U173" s="181"/>
      <c r="V173" s="181"/>
      <c r="W173" s="181"/>
      <c r="X173" s="181"/>
      <c r="Y173" s="181"/>
      <c r="Z173" s="171"/>
      <c r="AB173" s="174" t="str">
        <f t="shared" ref="AB173" si="62">B173</f>
        <v>Jonas Hofmann</v>
      </c>
    </row>
    <row r="174" spans="1:28" s="113" customFormat="1" ht="10.5" customHeight="1" x14ac:dyDescent="0.2">
      <c r="A174" s="201">
        <v>8</v>
      </c>
      <c r="B174" s="202" t="s">
        <v>212</v>
      </c>
      <c r="C174" s="202" t="s">
        <v>2</v>
      </c>
      <c r="D174" s="190" t="s">
        <v>59</v>
      </c>
      <c r="E174" s="190" t="s">
        <v>59</v>
      </c>
      <c r="F174" s="191" t="s">
        <v>59</v>
      </c>
      <c r="G174" s="191" t="s">
        <v>59</v>
      </c>
      <c r="H174" s="191"/>
      <c r="I174" s="190"/>
      <c r="J174" s="180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71"/>
      <c r="AB174" s="174" t="str">
        <f t="shared" si="58"/>
        <v>Robert Andrich</v>
      </c>
    </row>
    <row r="175" spans="1:28" s="113" customFormat="1" ht="10.5" customHeight="1" x14ac:dyDescent="0.2">
      <c r="A175" s="201">
        <v>10</v>
      </c>
      <c r="B175" s="202" t="s">
        <v>220</v>
      </c>
      <c r="C175" s="202" t="s">
        <v>2</v>
      </c>
      <c r="D175" s="190" t="s">
        <v>59</v>
      </c>
      <c r="E175" s="190" t="s">
        <v>59</v>
      </c>
      <c r="F175" s="191" t="s">
        <v>59</v>
      </c>
      <c r="G175" s="191" t="s">
        <v>59</v>
      </c>
      <c r="H175" s="191"/>
      <c r="I175" s="190"/>
      <c r="J175" s="180"/>
      <c r="K175" s="181">
        <v>7</v>
      </c>
      <c r="L175" s="181">
        <v>6</v>
      </c>
      <c r="M175" s="181"/>
      <c r="N175" s="181">
        <v>7</v>
      </c>
      <c r="O175" s="181">
        <v>5</v>
      </c>
      <c r="P175" s="181">
        <v>5</v>
      </c>
      <c r="Q175" s="181">
        <v>5</v>
      </c>
      <c r="R175" s="181">
        <v>6</v>
      </c>
      <c r="S175" s="181">
        <v>6</v>
      </c>
      <c r="T175" s="181"/>
      <c r="U175" s="181"/>
      <c r="V175" s="181"/>
      <c r="W175" s="181"/>
      <c r="X175" s="181"/>
      <c r="Y175" s="181"/>
      <c r="Z175" s="171"/>
      <c r="AB175" s="174" t="str">
        <f>B175</f>
        <v>Florian Wirtz</v>
      </c>
    </row>
    <row r="176" spans="1:28" s="113" customFormat="1" ht="10.5" customHeight="1" x14ac:dyDescent="0.2">
      <c r="A176" s="201">
        <v>18</v>
      </c>
      <c r="B176" s="202" t="s">
        <v>387</v>
      </c>
      <c r="C176" s="202" t="s">
        <v>2</v>
      </c>
      <c r="D176" s="190" t="s">
        <v>59</v>
      </c>
      <c r="E176" s="190" t="s">
        <v>59</v>
      </c>
      <c r="F176" s="191" t="s">
        <v>59</v>
      </c>
      <c r="G176" s="191" t="s">
        <v>59</v>
      </c>
      <c r="H176" s="191"/>
      <c r="I176" s="190"/>
      <c r="J176" s="180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71"/>
      <c r="AB176" s="174" t="str">
        <f t="shared" si="58"/>
        <v>Noah Mbamba (A)</v>
      </c>
    </row>
    <row r="177" spans="1:28" s="113" customFormat="1" ht="10.5" customHeight="1" x14ac:dyDescent="0.2">
      <c r="A177" s="201">
        <v>25</v>
      </c>
      <c r="B177" s="202" t="s">
        <v>214</v>
      </c>
      <c r="C177" s="202" t="s">
        <v>2</v>
      </c>
      <c r="D177" s="190" t="s">
        <v>59</v>
      </c>
      <c r="E177" s="190" t="s">
        <v>59</v>
      </c>
      <c r="F177" s="191" t="s">
        <v>59</v>
      </c>
      <c r="G177" s="191" t="s">
        <v>59</v>
      </c>
      <c r="H177" s="191"/>
      <c r="I177" s="190"/>
      <c r="J177" s="180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71"/>
      <c r="AB177" s="174" t="str">
        <f t="shared" ref="AB177" si="63">B177</f>
        <v>Exequiel Palacios (A)</v>
      </c>
    </row>
    <row r="178" spans="1:28" s="113" customFormat="1" ht="10.5" customHeight="1" x14ac:dyDescent="0.2">
      <c r="A178" s="201">
        <v>32</v>
      </c>
      <c r="B178" s="202" t="s">
        <v>426</v>
      </c>
      <c r="C178" s="202" t="s">
        <v>2</v>
      </c>
      <c r="D178" s="190" t="s">
        <v>59</v>
      </c>
      <c r="E178" s="190" t="s">
        <v>59</v>
      </c>
      <c r="F178" s="191" t="s">
        <v>59</v>
      </c>
      <c r="G178" s="191" t="s">
        <v>59</v>
      </c>
      <c r="H178" s="191"/>
      <c r="I178" s="190"/>
      <c r="J178" s="180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71"/>
      <c r="AB178" s="174" t="str">
        <f t="shared" ref="AB178" si="64">B178</f>
        <v>Gustavo Puerta (A)</v>
      </c>
    </row>
    <row r="179" spans="1:28" s="113" customFormat="1" ht="10.5" customHeight="1" x14ac:dyDescent="0.2">
      <c r="A179" s="201">
        <v>34</v>
      </c>
      <c r="B179" s="202" t="s">
        <v>427</v>
      </c>
      <c r="C179" s="202" t="s">
        <v>2</v>
      </c>
      <c r="D179" s="190" t="s">
        <v>59</v>
      </c>
      <c r="E179" s="190" t="s">
        <v>59</v>
      </c>
      <c r="F179" s="191" t="s">
        <v>59</v>
      </c>
      <c r="G179" s="191" t="s">
        <v>59</v>
      </c>
      <c r="H179" s="191"/>
      <c r="I179" s="190"/>
      <c r="J179" s="180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71"/>
      <c r="AB179" s="174" t="str">
        <f t="shared" ref="AB179:AB181" si="65">B179</f>
        <v>Granit Xhaka (A)</v>
      </c>
    </row>
    <row r="180" spans="1:28" s="113" customFormat="1" ht="10.5" customHeight="1" x14ac:dyDescent="0.2">
      <c r="A180" s="201">
        <v>47</v>
      </c>
      <c r="B180" s="202" t="s">
        <v>428</v>
      </c>
      <c r="C180" s="202" t="s">
        <v>2</v>
      </c>
      <c r="D180" s="190" t="s">
        <v>59</v>
      </c>
      <c r="E180" s="190" t="s">
        <v>59</v>
      </c>
      <c r="F180" s="191" t="s">
        <v>59</v>
      </c>
      <c r="G180" s="191" t="s">
        <v>59</v>
      </c>
      <c r="H180" s="191"/>
      <c r="I180" s="190"/>
      <c r="J180" s="180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71"/>
      <c r="AB180" s="174" t="str">
        <f t="shared" si="65"/>
        <v>Ayman Aourir</v>
      </c>
    </row>
    <row r="181" spans="1:28" s="113" customFormat="1" ht="10.5" customHeight="1" x14ac:dyDescent="0.2">
      <c r="A181" s="200">
        <v>9</v>
      </c>
      <c r="B181" s="194" t="s">
        <v>661</v>
      </c>
      <c r="C181" s="194" t="s">
        <v>3</v>
      </c>
      <c r="D181" s="195" t="s">
        <v>59</v>
      </c>
      <c r="E181" s="195" t="s">
        <v>59</v>
      </c>
      <c r="F181" s="196" t="s">
        <v>59</v>
      </c>
      <c r="G181" s="196" t="s">
        <v>59</v>
      </c>
      <c r="H181" s="196"/>
      <c r="I181" s="195"/>
      <c r="J181" s="180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71"/>
      <c r="AB181" s="174" t="str">
        <f t="shared" si="65"/>
        <v>Borja Iglesias (A)</v>
      </c>
    </row>
    <row r="182" spans="1:28" s="113" customFormat="1" ht="10.5" customHeight="1" x14ac:dyDescent="0.2">
      <c r="A182" s="200">
        <v>14</v>
      </c>
      <c r="B182" s="194" t="s">
        <v>247</v>
      </c>
      <c r="C182" s="194" t="s">
        <v>3</v>
      </c>
      <c r="D182" s="195" t="s">
        <v>59</v>
      </c>
      <c r="E182" s="195" t="s">
        <v>59</v>
      </c>
      <c r="F182" s="196" t="s">
        <v>59</v>
      </c>
      <c r="G182" s="196" t="s">
        <v>59</v>
      </c>
      <c r="H182" s="196"/>
      <c r="I182" s="195"/>
      <c r="J182" s="180"/>
      <c r="K182" s="181"/>
      <c r="L182" s="181"/>
      <c r="M182" s="181"/>
      <c r="N182" s="181"/>
      <c r="O182" s="181">
        <v>11</v>
      </c>
      <c r="P182" s="181"/>
      <c r="Q182" s="181">
        <v>11</v>
      </c>
      <c r="R182" s="181"/>
      <c r="S182" s="181"/>
      <c r="T182" s="181"/>
      <c r="U182" s="181"/>
      <c r="V182" s="181"/>
      <c r="W182" s="181"/>
      <c r="X182" s="181"/>
      <c r="Y182" s="181"/>
      <c r="Z182" s="171"/>
      <c r="AB182" s="174" t="str">
        <f t="shared" ref="AB182:AB187" si="66">B182</f>
        <v>Patrick Schick (A)</v>
      </c>
    </row>
    <row r="183" spans="1:28" s="113" customFormat="1" ht="10.5" customHeight="1" x14ac:dyDescent="0.2">
      <c r="A183" s="200">
        <v>19</v>
      </c>
      <c r="B183" s="194" t="s">
        <v>600</v>
      </c>
      <c r="C183" s="194" t="s">
        <v>3</v>
      </c>
      <c r="D183" s="195" t="s">
        <v>59</v>
      </c>
      <c r="E183" s="195" t="s">
        <v>59</v>
      </c>
      <c r="F183" s="196" t="s">
        <v>59</v>
      </c>
      <c r="G183" s="196" t="s">
        <v>59</v>
      </c>
      <c r="H183" s="196"/>
      <c r="I183" s="195"/>
      <c r="J183" s="180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71"/>
      <c r="AB183" s="174" t="str">
        <f t="shared" si="66"/>
        <v>Nathan Tella (A)</v>
      </c>
    </row>
    <row r="184" spans="1:28" s="113" customFormat="1" ht="10.5" customHeight="1" x14ac:dyDescent="0.2">
      <c r="A184" s="200">
        <v>21</v>
      </c>
      <c r="B184" s="194" t="s">
        <v>308</v>
      </c>
      <c r="C184" s="194" t="s">
        <v>3</v>
      </c>
      <c r="D184" s="195" t="s">
        <v>59</v>
      </c>
      <c r="E184" s="195" t="s">
        <v>59</v>
      </c>
      <c r="F184" s="196" t="s">
        <v>59</v>
      </c>
      <c r="G184" s="196" t="s">
        <v>59</v>
      </c>
      <c r="H184" s="196"/>
      <c r="I184" s="195"/>
      <c r="J184" s="180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71"/>
      <c r="AB184" s="174" t="str">
        <f>B184</f>
        <v>Amine Adli (A)</v>
      </c>
    </row>
    <row r="185" spans="1:28" s="113" customFormat="1" ht="10.5" customHeight="1" x14ac:dyDescent="0.2">
      <c r="A185" s="200">
        <v>22</v>
      </c>
      <c r="B185" s="194" t="s">
        <v>429</v>
      </c>
      <c r="C185" s="194" t="s">
        <v>3</v>
      </c>
      <c r="D185" s="195" t="s">
        <v>59</v>
      </c>
      <c r="E185" s="195" t="s">
        <v>59</v>
      </c>
      <c r="F185" s="196" t="s">
        <v>59</v>
      </c>
      <c r="G185" s="196" t="s">
        <v>59</v>
      </c>
      <c r="H185" s="196"/>
      <c r="I185" s="195"/>
      <c r="J185" s="180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71"/>
      <c r="AB185" s="174" t="str">
        <f t="shared" si="66"/>
        <v>Victor Boniface (A)</v>
      </c>
    </row>
    <row r="186" spans="1:28" s="113" customFormat="1" ht="10.5" customHeight="1" x14ac:dyDescent="0.2">
      <c r="A186" s="200">
        <v>23</v>
      </c>
      <c r="B186" s="194" t="s">
        <v>575</v>
      </c>
      <c r="C186" s="194" t="s">
        <v>3</v>
      </c>
      <c r="D186" s="195" t="s">
        <v>59</v>
      </c>
      <c r="E186" s="195" t="s">
        <v>59</v>
      </c>
      <c r="F186" s="196" t="s">
        <v>59</v>
      </c>
      <c r="G186" s="196" t="s">
        <v>59</v>
      </c>
      <c r="H186" s="196"/>
      <c r="I186" s="195"/>
      <c r="J186" s="180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71"/>
      <c r="AB186" s="174" t="str">
        <f t="shared" ref="AB186" si="67">B186</f>
        <v>Adam Hložek (A)</v>
      </c>
    </row>
    <row r="187" spans="1:28" s="113" customFormat="1" ht="10.5" customHeight="1" x14ac:dyDescent="0.2">
      <c r="A187" s="200">
        <v>40</v>
      </c>
      <c r="B187" s="194" t="s">
        <v>646</v>
      </c>
      <c r="C187" s="194" t="s">
        <v>3</v>
      </c>
      <c r="D187" s="195" t="s">
        <v>59</v>
      </c>
      <c r="E187" s="195" t="s">
        <v>59</v>
      </c>
      <c r="F187" s="196" t="s">
        <v>59</v>
      </c>
      <c r="G187" s="196" t="s">
        <v>59</v>
      </c>
      <c r="H187" s="196"/>
      <c r="I187" s="195"/>
      <c r="J187" s="180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71"/>
      <c r="AB187" s="174" t="str">
        <f t="shared" si="66"/>
        <v>Francis Onyeka</v>
      </c>
    </row>
    <row r="188" spans="1:28" ht="15" customHeight="1" thickBot="1" x14ac:dyDescent="0.25">
      <c r="A188" s="219" t="s">
        <v>106</v>
      </c>
      <c r="B188" s="219"/>
      <c r="C188" s="219"/>
      <c r="D188" s="219"/>
      <c r="E188" s="219"/>
      <c r="F188" s="219"/>
      <c r="G188" s="219"/>
      <c r="H188" s="219"/>
      <c r="I188" s="219"/>
      <c r="J188" s="10"/>
      <c r="K188" s="175">
        <v>12</v>
      </c>
      <c r="L188" s="175">
        <v>12</v>
      </c>
      <c r="M188" s="175">
        <v>12</v>
      </c>
      <c r="N188" s="175">
        <v>12</v>
      </c>
      <c r="O188" s="175">
        <v>12</v>
      </c>
      <c r="P188" s="175">
        <v>12</v>
      </c>
      <c r="Q188" s="175">
        <v>12</v>
      </c>
      <c r="R188" s="175">
        <v>12</v>
      </c>
      <c r="S188" s="175">
        <v>12</v>
      </c>
      <c r="T188" s="175">
        <v>12</v>
      </c>
      <c r="U188" s="175">
        <v>12</v>
      </c>
      <c r="V188" s="175">
        <v>12</v>
      </c>
      <c r="W188" s="175">
        <v>12</v>
      </c>
      <c r="X188" s="175">
        <v>12</v>
      </c>
      <c r="Y188" s="175">
        <v>12</v>
      </c>
      <c r="Z188" s="216"/>
      <c r="AB188" s="174" t="str">
        <f>A188</f>
        <v>Eintracht Frankfurt</v>
      </c>
    </row>
    <row r="189" spans="1:28" ht="10.5" customHeight="1" x14ac:dyDescent="0.2">
      <c r="A189" s="176">
        <v>1</v>
      </c>
      <c r="B189" s="177" t="s">
        <v>190</v>
      </c>
      <c r="C189" s="177" t="s">
        <v>0</v>
      </c>
      <c r="D189" s="178" t="s">
        <v>59</v>
      </c>
      <c r="E189" s="178" t="s">
        <v>59</v>
      </c>
      <c r="F189" s="179" t="s">
        <v>59</v>
      </c>
      <c r="G189" s="179" t="s">
        <v>59</v>
      </c>
      <c r="H189" s="179"/>
      <c r="I189" s="178"/>
      <c r="J189" s="180"/>
      <c r="K189" s="181"/>
      <c r="L189" s="181"/>
      <c r="M189" s="181"/>
      <c r="N189" s="181"/>
      <c r="O189" s="181">
        <v>1</v>
      </c>
      <c r="P189" s="181"/>
      <c r="Q189" s="181">
        <v>1</v>
      </c>
      <c r="R189" s="181">
        <v>1</v>
      </c>
      <c r="S189" s="181"/>
      <c r="T189" s="181"/>
      <c r="U189" s="181"/>
      <c r="V189" s="181"/>
      <c r="W189" s="181"/>
      <c r="X189" s="181"/>
      <c r="Y189" s="181"/>
      <c r="AB189" s="174" t="str">
        <f t="shared" ref="AB189:AB195" si="68">B189</f>
        <v>Kevin Trapp</v>
      </c>
    </row>
    <row r="190" spans="1:28" ht="10.5" customHeight="1" x14ac:dyDescent="0.2">
      <c r="A190" s="176">
        <v>31</v>
      </c>
      <c r="B190" s="177" t="s">
        <v>239</v>
      </c>
      <c r="C190" s="177" t="s">
        <v>0</v>
      </c>
      <c r="D190" s="178" t="s">
        <v>59</v>
      </c>
      <c r="E190" s="178" t="s">
        <v>59</v>
      </c>
      <c r="F190" s="179" t="s">
        <v>59</v>
      </c>
      <c r="G190" s="179" t="s">
        <v>59</v>
      </c>
      <c r="H190" s="179"/>
      <c r="I190" s="178"/>
      <c r="J190" s="180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AB190" s="174" t="str">
        <f t="shared" ref="AB190:AB193" si="69">B190</f>
        <v>Jens Grahl</v>
      </c>
    </row>
    <row r="191" spans="1:28" ht="10.5" customHeight="1" x14ac:dyDescent="0.2">
      <c r="A191" s="176">
        <v>38</v>
      </c>
      <c r="B191" s="177" t="s">
        <v>631</v>
      </c>
      <c r="C191" s="177" t="s">
        <v>0</v>
      </c>
      <c r="D191" s="178" t="s">
        <v>59</v>
      </c>
      <c r="E191" s="178" t="s">
        <v>59</v>
      </c>
      <c r="F191" s="179" t="s">
        <v>59</v>
      </c>
      <c r="G191" s="179" t="s">
        <v>59</v>
      </c>
      <c r="H191" s="179"/>
      <c r="I191" s="178"/>
      <c r="J191" s="180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AB191" s="174" t="str">
        <f>B191</f>
        <v>Nils Ramming</v>
      </c>
    </row>
    <row r="192" spans="1:28" ht="10.5" customHeight="1" x14ac:dyDescent="0.2">
      <c r="A192" s="176">
        <v>40</v>
      </c>
      <c r="B192" s="177" t="s">
        <v>602</v>
      </c>
      <c r="C192" s="177" t="s">
        <v>0</v>
      </c>
      <c r="D192" s="178" t="s">
        <v>59</v>
      </c>
      <c r="E192" s="178" t="s">
        <v>59</v>
      </c>
      <c r="F192" s="179" t="s">
        <v>59</v>
      </c>
      <c r="G192" s="179" t="s">
        <v>59</v>
      </c>
      <c r="H192" s="179"/>
      <c r="I192" s="178"/>
      <c r="J192" s="180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AB192" s="174" t="str">
        <f>B192</f>
        <v>Kauã Santos (A)</v>
      </c>
    </row>
    <row r="193" spans="1:28" ht="10.5" customHeight="1" x14ac:dyDescent="0.2">
      <c r="A193" s="176">
        <v>41</v>
      </c>
      <c r="B193" s="177" t="s">
        <v>430</v>
      </c>
      <c r="C193" s="177" t="s">
        <v>0</v>
      </c>
      <c r="D193" s="178" t="s">
        <v>59</v>
      </c>
      <c r="E193" s="178" t="s">
        <v>59</v>
      </c>
      <c r="F193" s="179" t="s">
        <v>59</v>
      </c>
      <c r="G193" s="179" t="s">
        <v>59</v>
      </c>
      <c r="H193" s="179"/>
      <c r="I193" s="178"/>
      <c r="J193" s="180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AB193" s="174" t="str">
        <f t="shared" si="69"/>
        <v>Simon Simoni (A)</v>
      </c>
    </row>
    <row r="194" spans="1:28" ht="10.5" customHeight="1" x14ac:dyDescent="0.2">
      <c r="A194" s="176">
        <v>42</v>
      </c>
      <c r="B194" s="177" t="s">
        <v>604</v>
      </c>
      <c r="C194" s="177" t="s">
        <v>0</v>
      </c>
      <c r="D194" s="178" t="s">
        <v>59</v>
      </c>
      <c r="E194" s="178" t="s">
        <v>59</v>
      </c>
      <c r="F194" s="179" t="s">
        <v>59</v>
      </c>
      <c r="G194" s="179" t="s">
        <v>59</v>
      </c>
      <c r="H194" s="179"/>
      <c r="I194" s="178"/>
      <c r="J194" s="180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AB194" s="174" t="str">
        <f t="shared" ref="AB194" si="70">B194</f>
        <v>Luke Grauer</v>
      </c>
    </row>
    <row r="195" spans="1:28" ht="10.5" customHeight="1" x14ac:dyDescent="0.2">
      <c r="A195" s="197">
        <v>3</v>
      </c>
      <c r="B195" s="198" t="s">
        <v>431</v>
      </c>
      <c r="C195" s="184" t="s">
        <v>1</v>
      </c>
      <c r="D195" s="185" t="s">
        <v>59</v>
      </c>
      <c r="E195" s="185" t="s">
        <v>59</v>
      </c>
      <c r="F195" s="186" t="s">
        <v>59</v>
      </c>
      <c r="G195" s="186" t="s">
        <v>59</v>
      </c>
      <c r="H195" s="186"/>
      <c r="I195" s="185"/>
      <c r="J195" s="180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AB195" s="174" t="str">
        <f t="shared" si="68"/>
        <v>Willian Pacho (A)</v>
      </c>
    </row>
    <row r="196" spans="1:28" ht="10.5" customHeight="1" x14ac:dyDescent="0.2">
      <c r="A196" s="197">
        <v>4</v>
      </c>
      <c r="B196" s="198" t="s">
        <v>432</v>
      </c>
      <c r="C196" s="184" t="s">
        <v>1</v>
      </c>
      <c r="D196" s="185" t="s">
        <v>59</v>
      </c>
      <c r="E196" s="185" t="s">
        <v>59</v>
      </c>
      <c r="F196" s="186" t="s">
        <v>59</v>
      </c>
      <c r="G196" s="186" t="s">
        <v>59</v>
      </c>
      <c r="H196" s="186"/>
      <c r="I196" s="185"/>
      <c r="J196" s="180"/>
      <c r="K196" s="181"/>
      <c r="L196" s="181"/>
      <c r="M196" s="181"/>
      <c r="N196" s="181"/>
      <c r="O196" s="181"/>
      <c r="P196" s="181">
        <v>4</v>
      </c>
      <c r="Q196" s="181"/>
      <c r="R196" s="181"/>
      <c r="S196" s="181"/>
      <c r="T196" s="181"/>
      <c r="U196" s="181"/>
      <c r="V196" s="181"/>
      <c r="W196" s="181"/>
      <c r="X196" s="181"/>
      <c r="Y196" s="181"/>
      <c r="AB196" s="174" t="str">
        <f t="shared" ref="AB196:AB205" si="71">B196</f>
        <v>Robin Koch</v>
      </c>
    </row>
    <row r="197" spans="1:28" ht="10.5" customHeight="1" x14ac:dyDescent="0.2">
      <c r="A197" s="197">
        <v>5</v>
      </c>
      <c r="B197" s="198" t="s">
        <v>576</v>
      </c>
      <c r="C197" s="184" t="s">
        <v>1</v>
      </c>
      <c r="D197" s="185" t="s">
        <v>59</v>
      </c>
      <c r="E197" s="185" t="s">
        <v>59</v>
      </c>
      <c r="F197" s="186" t="s">
        <v>59</v>
      </c>
      <c r="G197" s="186" t="s">
        <v>59</v>
      </c>
      <c r="H197" s="186"/>
      <c r="I197" s="185"/>
      <c r="J197" s="180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AB197" s="174" t="str">
        <f t="shared" si="71"/>
        <v>Hrvoje Smolčić (A)</v>
      </c>
    </row>
    <row r="198" spans="1:28" ht="10.5" customHeight="1" x14ac:dyDescent="0.2">
      <c r="A198" s="197">
        <v>20</v>
      </c>
      <c r="B198" s="198" t="s">
        <v>66</v>
      </c>
      <c r="C198" s="184" t="s">
        <v>1</v>
      </c>
      <c r="D198" s="185" t="s">
        <v>59</v>
      </c>
      <c r="E198" s="185" t="s">
        <v>59</v>
      </c>
      <c r="F198" s="186" t="s">
        <v>59</v>
      </c>
      <c r="G198" s="186" t="s">
        <v>59</v>
      </c>
      <c r="H198" s="186"/>
      <c r="I198" s="185"/>
      <c r="J198" s="180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AB198" s="174" t="str">
        <f t="shared" si="71"/>
        <v>Makoto Hasebe (A)</v>
      </c>
    </row>
    <row r="199" spans="1:28" ht="10.5" customHeight="1" x14ac:dyDescent="0.2">
      <c r="A199" s="197">
        <v>24</v>
      </c>
      <c r="B199" s="198" t="s">
        <v>579</v>
      </c>
      <c r="C199" s="184" t="s">
        <v>1</v>
      </c>
      <c r="D199" s="185" t="s">
        <v>59</v>
      </c>
      <c r="E199" s="185" t="s">
        <v>59</v>
      </c>
      <c r="F199" s="186" t="s">
        <v>59</v>
      </c>
      <c r="G199" s="186" t="s">
        <v>59</v>
      </c>
      <c r="H199" s="186"/>
      <c r="I199" s="185"/>
      <c r="J199" s="180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AB199" s="174" t="str">
        <f t="shared" si="71"/>
        <v>Aurélio Buta (A)</v>
      </c>
    </row>
    <row r="200" spans="1:28" ht="10.5" customHeight="1" x14ac:dyDescent="0.2">
      <c r="A200" s="197">
        <v>29</v>
      </c>
      <c r="B200" s="198" t="s">
        <v>605</v>
      </c>
      <c r="C200" s="184" t="s">
        <v>1</v>
      </c>
      <c r="D200" s="185" t="s">
        <v>59</v>
      </c>
      <c r="E200" s="185" t="s">
        <v>59</v>
      </c>
      <c r="F200" s="186" t="s">
        <v>59</v>
      </c>
      <c r="G200" s="186" t="s">
        <v>59</v>
      </c>
      <c r="H200" s="186"/>
      <c r="I200" s="185"/>
      <c r="J200" s="180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AB200" s="174" t="str">
        <f>B200</f>
        <v>Niels Nkounkou (A)</v>
      </c>
    </row>
    <row r="201" spans="1:28" ht="10.5" customHeight="1" x14ac:dyDescent="0.2">
      <c r="A201" s="197">
        <v>31</v>
      </c>
      <c r="B201" s="198" t="s">
        <v>397</v>
      </c>
      <c r="C201" s="184" t="s">
        <v>1</v>
      </c>
      <c r="D201" s="185" t="s">
        <v>59</v>
      </c>
      <c r="E201" s="185" t="s">
        <v>59</v>
      </c>
      <c r="F201" s="186" t="s">
        <v>59</v>
      </c>
      <c r="G201" s="186" t="s">
        <v>59</v>
      </c>
      <c r="H201" s="186"/>
      <c r="I201" s="185"/>
      <c r="J201" s="180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AB201" s="174" t="str">
        <f>B201</f>
        <v>Philipp Max</v>
      </c>
    </row>
    <row r="202" spans="1:28" ht="10.5" customHeight="1" x14ac:dyDescent="0.2">
      <c r="A202" s="197">
        <v>34</v>
      </c>
      <c r="B202" s="198" t="s">
        <v>606</v>
      </c>
      <c r="C202" s="184" t="s">
        <v>1</v>
      </c>
      <c r="D202" s="185" t="s">
        <v>59</v>
      </c>
      <c r="E202" s="185" t="s">
        <v>59</v>
      </c>
      <c r="F202" s="186" t="s">
        <v>59</v>
      </c>
      <c r="G202" s="186" t="s">
        <v>59</v>
      </c>
      <c r="H202" s="186"/>
      <c r="I202" s="185"/>
      <c r="J202" s="180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AB202" s="174" t="str">
        <f>B202</f>
        <v>Nnamdi Collins</v>
      </c>
    </row>
    <row r="203" spans="1:28" ht="10.5" customHeight="1" x14ac:dyDescent="0.2">
      <c r="A203" s="197">
        <v>35</v>
      </c>
      <c r="B203" s="198" t="s">
        <v>233</v>
      </c>
      <c r="C203" s="184" t="s">
        <v>1</v>
      </c>
      <c r="D203" s="185" t="s">
        <v>59</v>
      </c>
      <c r="E203" s="185" t="s">
        <v>59</v>
      </c>
      <c r="F203" s="186" t="s">
        <v>59</v>
      </c>
      <c r="G203" s="186" t="s">
        <v>59</v>
      </c>
      <c r="H203" s="186"/>
      <c r="I203" s="185"/>
      <c r="J203" s="180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AB203" s="174" t="str">
        <f t="shared" si="71"/>
        <v>Tuta (A)</v>
      </c>
    </row>
    <row r="204" spans="1:28" ht="10.5" customHeight="1" x14ac:dyDescent="0.2">
      <c r="A204" s="197">
        <v>46</v>
      </c>
      <c r="B204" s="198" t="s">
        <v>433</v>
      </c>
      <c r="C204" s="184" t="s">
        <v>1</v>
      </c>
      <c r="D204" s="185" t="s">
        <v>59</v>
      </c>
      <c r="E204" s="185" t="s">
        <v>59</v>
      </c>
      <c r="F204" s="186" t="s">
        <v>59</v>
      </c>
      <c r="G204" s="186" t="s">
        <v>59</v>
      </c>
      <c r="H204" s="186"/>
      <c r="I204" s="185"/>
      <c r="J204" s="180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AB204" s="174" t="str">
        <f t="shared" ref="AB204" si="72">B204</f>
        <v>Dario Gebuhr</v>
      </c>
    </row>
    <row r="205" spans="1:28" ht="10.5" customHeight="1" x14ac:dyDescent="0.2">
      <c r="A205" s="197">
        <v>47</v>
      </c>
      <c r="B205" s="198" t="s">
        <v>434</v>
      </c>
      <c r="C205" s="184" t="s">
        <v>1</v>
      </c>
      <c r="D205" s="185" t="s">
        <v>59</v>
      </c>
      <c r="E205" s="185" t="s">
        <v>59</v>
      </c>
      <c r="F205" s="186" t="s">
        <v>59</v>
      </c>
      <c r="G205" s="186" t="s">
        <v>59</v>
      </c>
      <c r="H205" s="186"/>
      <c r="I205" s="185"/>
      <c r="J205" s="180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AB205" s="174" t="str">
        <f t="shared" si="71"/>
        <v>Elias Baum</v>
      </c>
    </row>
    <row r="206" spans="1:28" ht="10.5" customHeight="1" x14ac:dyDescent="0.2">
      <c r="A206" s="199">
        <v>8</v>
      </c>
      <c r="B206" s="189" t="s">
        <v>601</v>
      </c>
      <c r="C206" s="189" t="s">
        <v>2</v>
      </c>
      <c r="D206" s="190" t="s">
        <v>59</v>
      </c>
      <c r="E206" s="190" t="s">
        <v>59</v>
      </c>
      <c r="F206" s="191" t="s">
        <v>59</v>
      </c>
      <c r="G206" s="191" t="s">
        <v>59</v>
      </c>
      <c r="H206" s="191"/>
      <c r="I206" s="190"/>
      <c r="J206" s="180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AB206" s="174" t="str">
        <f>B206</f>
        <v>Farès Chaibi (A)</v>
      </c>
    </row>
    <row r="207" spans="1:28" ht="10.5" customHeight="1" x14ac:dyDescent="0.2">
      <c r="A207" s="199">
        <v>15</v>
      </c>
      <c r="B207" s="189" t="s">
        <v>204</v>
      </c>
      <c r="C207" s="189" t="s">
        <v>2</v>
      </c>
      <c r="D207" s="190" t="s">
        <v>59</v>
      </c>
      <c r="E207" s="190" t="s">
        <v>59</v>
      </c>
      <c r="F207" s="191" t="s">
        <v>59</v>
      </c>
      <c r="G207" s="191" t="s">
        <v>59</v>
      </c>
      <c r="H207" s="191"/>
      <c r="I207" s="190"/>
      <c r="J207" s="180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AB207" s="174" t="str">
        <f t="shared" ref="AB207:AB210" si="73">B207</f>
        <v>Ellyes Skhiri (A)</v>
      </c>
    </row>
    <row r="208" spans="1:28" ht="10.5" customHeight="1" x14ac:dyDescent="0.2">
      <c r="A208" s="199">
        <v>16</v>
      </c>
      <c r="B208" s="189" t="s">
        <v>435</v>
      </c>
      <c r="C208" s="189" t="s">
        <v>2</v>
      </c>
      <c r="D208" s="190" t="s">
        <v>59</v>
      </c>
      <c r="E208" s="190" t="s">
        <v>59</v>
      </c>
      <c r="F208" s="191" t="s">
        <v>59</v>
      </c>
      <c r="G208" s="191" t="s">
        <v>59</v>
      </c>
      <c r="H208" s="191"/>
      <c r="I208" s="190"/>
      <c r="J208" s="180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AB208" s="174" t="str">
        <f t="shared" si="73"/>
        <v>Hugo Larsson (A)</v>
      </c>
    </row>
    <row r="209" spans="1:28" ht="10.5" customHeight="1" x14ac:dyDescent="0.2">
      <c r="A209" s="199">
        <v>17</v>
      </c>
      <c r="B209" s="189" t="s">
        <v>111</v>
      </c>
      <c r="C209" s="189" t="s">
        <v>2</v>
      </c>
      <c r="D209" s="190" t="s">
        <v>59</v>
      </c>
      <c r="E209" s="190" t="s">
        <v>59</v>
      </c>
      <c r="F209" s="191" t="s">
        <v>59</v>
      </c>
      <c r="G209" s="191" t="s">
        <v>59</v>
      </c>
      <c r="H209" s="191"/>
      <c r="I209" s="190"/>
      <c r="J209" s="180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AB209" s="174" t="str">
        <f t="shared" si="73"/>
        <v>Sebastian Rode</v>
      </c>
    </row>
    <row r="210" spans="1:28" ht="10.5" customHeight="1" x14ac:dyDescent="0.2">
      <c r="A210" s="199">
        <v>22</v>
      </c>
      <c r="B210" s="189" t="s">
        <v>98</v>
      </c>
      <c r="C210" s="189" t="s">
        <v>2</v>
      </c>
      <c r="D210" s="190" t="s">
        <v>59</v>
      </c>
      <c r="E210" s="190" t="s">
        <v>59</v>
      </c>
      <c r="F210" s="191" t="s">
        <v>59</v>
      </c>
      <c r="G210" s="191" t="s">
        <v>59</v>
      </c>
      <c r="H210" s="191"/>
      <c r="I210" s="190"/>
      <c r="J210" s="180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AB210" s="174" t="str">
        <f t="shared" si="73"/>
        <v>Timothy Chandler</v>
      </c>
    </row>
    <row r="211" spans="1:28" ht="10.5" customHeight="1" x14ac:dyDescent="0.2">
      <c r="A211" s="199">
        <v>25</v>
      </c>
      <c r="B211" s="189" t="s">
        <v>639</v>
      </c>
      <c r="C211" s="189" t="s">
        <v>2</v>
      </c>
      <c r="D211" s="190" t="s">
        <v>59</v>
      </c>
      <c r="E211" s="190" t="s">
        <v>59</v>
      </c>
      <c r="F211" s="191" t="s">
        <v>59</v>
      </c>
      <c r="G211" s="191" t="s">
        <v>59</v>
      </c>
      <c r="H211" s="191"/>
      <c r="I211" s="190"/>
      <c r="J211" s="180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AB211" s="174" t="str">
        <f>B211</f>
        <v>Donny van de Beek (A)</v>
      </c>
    </row>
    <row r="212" spans="1:28" ht="10.5" customHeight="1" x14ac:dyDescent="0.2">
      <c r="A212" s="199">
        <v>26</v>
      </c>
      <c r="B212" s="189" t="s">
        <v>375</v>
      </c>
      <c r="C212" s="189" t="s">
        <v>2</v>
      </c>
      <c r="D212" s="190" t="s">
        <v>59</v>
      </c>
      <c r="E212" s="190" t="s">
        <v>59</v>
      </c>
      <c r="F212" s="191" t="s">
        <v>59</v>
      </c>
      <c r="G212" s="191" t="s">
        <v>59</v>
      </c>
      <c r="H212" s="191"/>
      <c r="I212" s="190"/>
      <c r="J212" s="180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AB212" s="174" t="str">
        <f>B212</f>
        <v>Eric Junior Dina Ebimbe (A)</v>
      </c>
    </row>
    <row r="213" spans="1:28" ht="10.5" customHeight="1" x14ac:dyDescent="0.2">
      <c r="A213" s="199">
        <v>27</v>
      </c>
      <c r="B213" s="189" t="s">
        <v>346</v>
      </c>
      <c r="C213" s="189" t="s">
        <v>2</v>
      </c>
      <c r="D213" s="190" t="s">
        <v>59</v>
      </c>
      <c r="E213" s="190" t="s">
        <v>59</v>
      </c>
      <c r="F213" s="191" t="s">
        <v>59</v>
      </c>
      <c r="G213" s="191" t="s">
        <v>59</v>
      </c>
      <c r="H213" s="191"/>
      <c r="I213" s="190"/>
      <c r="J213" s="180"/>
      <c r="K213" s="181"/>
      <c r="L213" s="181"/>
      <c r="M213" s="181"/>
      <c r="N213" s="181"/>
      <c r="O213" s="181">
        <v>7</v>
      </c>
      <c r="P213" s="181"/>
      <c r="Q213" s="181"/>
      <c r="R213" s="181"/>
      <c r="S213" s="181">
        <v>7</v>
      </c>
      <c r="T213" s="181"/>
      <c r="U213" s="181"/>
      <c r="V213" s="181"/>
      <c r="W213" s="181"/>
      <c r="X213" s="181"/>
      <c r="Y213" s="181"/>
      <c r="AB213" s="174" t="str">
        <f t="shared" ref="AB213" si="74">B213</f>
        <v>Mario Götze</v>
      </c>
    </row>
    <row r="214" spans="1:28" ht="10.5" customHeight="1" x14ac:dyDescent="0.2">
      <c r="A214" s="199">
        <v>37</v>
      </c>
      <c r="B214" s="189" t="s">
        <v>607</v>
      </c>
      <c r="C214" s="189" t="s">
        <v>2</v>
      </c>
      <c r="D214" s="190" t="s">
        <v>59</v>
      </c>
      <c r="E214" s="190" t="s">
        <v>59</v>
      </c>
      <c r="F214" s="191" t="s">
        <v>59</v>
      </c>
      <c r="G214" s="191" t="s">
        <v>59</v>
      </c>
      <c r="H214" s="191"/>
      <c r="I214" s="190"/>
      <c r="J214" s="180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AB214" s="174" t="str">
        <f>B214</f>
        <v>Sidney Raebiger</v>
      </c>
    </row>
    <row r="215" spans="1:28" ht="10.5" customHeight="1" x14ac:dyDescent="0.2">
      <c r="A215" s="199">
        <v>44</v>
      </c>
      <c r="B215" s="189" t="s">
        <v>436</v>
      </c>
      <c r="C215" s="189" t="s">
        <v>2</v>
      </c>
      <c r="D215" s="190" t="s">
        <v>59</v>
      </c>
      <c r="E215" s="190" t="s">
        <v>59</v>
      </c>
      <c r="F215" s="191" t="s">
        <v>59</v>
      </c>
      <c r="G215" s="191" t="s">
        <v>59</v>
      </c>
      <c r="H215" s="191"/>
      <c r="I215" s="190"/>
      <c r="J215" s="180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AB215" s="174" t="str">
        <f>B215</f>
        <v>Davis Bautista (A)</v>
      </c>
    </row>
    <row r="216" spans="1:28" ht="10.5" customHeight="1" x14ac:dyDescent="0.2">
      <c r="A216" s="199">
        <v>45</v>
      </c>
      <c r="B216" s="189" t="s">
        <v>347</v>
      </c>
      <c r="C216" s="189" t="s">
        <v>2</v>
      </c>
      <c r="D216" s="190" t="s">
        <v>59</v>
      </c>
      <c r="E216" s="190" t="s">
        <v>59</v>
      </c>
      <c r="F216" s="191" t="s">
        <v>59</v>
      </c>
      <c r="G216" s="191" t="s">
        <v>59</v>
      </c>
      <c r="H216" s="191"/>
      <c r="I216" s="190"/>
      <c r="J216" s="180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AB216" s="174" t="str">
        <f t="shared" ref="AB216" si="75">B216</f>
        <v>Mehdi Loune</v>
      </c>
    </row>
    <row r="217" spans="1:28" ht="10.5" customHeight="1" x14ac:dyDescent="0.2">
      <c r="A217" s="199">
        <v>49</v>
      </c>
      <c r="B217" s="189" t="s">
        <v>437</v>
      </c>
      <c r="C217" s="189" t="s">
        <v>2</v>
      </c>
      <c r="D217" s="190" t="s">
        <v>59</v>
      </c>
      <c r="E217" s="190" t="s">
        <v>59</v>
      </c>
      <c r="F217" s="191" t="s">
        <v>59</v>
      </c>
      <c r="G217" s="191" t="s">
        <v>59</v>
      </c>
      <c r="H217" s="191"/>
      <c r="I217" s="190"/>
      <c r="J217" s="180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AB217" s="174" t="str">
        <f t="shared" ref="AB217" si="76">B217</f>
        <v>Harpreet Ghotra</v>
      </c>
    </row>
    <row r="218" spans="1:28" ht="10.5" customHeight="1" x14ac:dyDescent="0.2">
      <c r="A218" s="200">
        <v>7</v>
      </c>
      <c r="B218" s="194" t="s">
        <v>309</v>
      </c>
      <c r="C218" s="194" t="s">
        <v>3</v>
      </c>
      <c r="D218" s="195" t="s">
        <v>59</v>
      </c>
      <c r="E218" s="195" t="s">
        <v>59</v>
      </c>
      <c r="F218" s="196" t="s">
        <v>59</v>
      </c>
      <c r="G218" s="196" t="s">
        <v>59</v>
      </c>
      <c r="H218" s="196"/>
      <c r="I218" s="195"/>
      <c r="J218" s="180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AB218" s="174" t="str">
        <f t="shared" ref="AB218:AB219" si="77">B218</f>
        <v>Omar Marmoush (A)</v>
      </c>
    </row>
    <row r="219" spans="1:28" ht="10.5" customHeight="1" x14ac:dyDescent="0.2">
      <c r="A219" s="200">
        <v>9</v>
      </c>
      <c r="B219" s="194" t="s">
        <v>640</v>
      </c>
      <c r="C219" s="194" t="s">
        <v>3</v>
      </c>
      <c r="D219" s="195" t="s">
        <v>59</v>
      </c>
      <c r="E219" s="195" t="s">
        <v>59</v>
      </c>
      <c r="F219" s="196" t="s">
        <v>59</v>
      </c>
      <c r="G219" s="196" t="s">
        <v>59</v>
      </c>
      <c r="H219" s="196"/>
      <c r="I219" s="195"/>
      <c r="J219" s="180"/>
      <c r="K219" s="181"/>
      <c r="L219" s="181"/>
      <c r="M219" s="181"/>
      <c r="N219" s="181">
        <v>11</v>
      </c>
      <c r="O219" s="181"/>
      <c r="P219" s="181">
        <v>9</v>
      </c>
      <c r="Q219" s="181"/>
      <c r="R219" s="181"/>
      <c r="S219" s="181">
        <v>11</v>
      </c>
      <c r="T219" s="181"/>
      <c r="U219" s="181"/>
      <c r="V219" s="181"/>
      <c r="W219" s="181"/>
      <c r="X219" s="181"/>
      <c r="Y219" s="181"/>
      <c r="AB219" s="174" t="str">
        <f t="shared" si="77"/>
        <v>Saša Kalajdžić (A)</v>
      </c>
    </row>
    <row r="220" spans="1:28" ht="10.5" customHeight="1" x14ac:dyDescent="0.2">
      <c r="A220" s="200">
        <v>11</v>
      </c>
      <c r="B220" s="194" t="s">
        <v>667</v>
      </c>
      <c r="C220" s="194" t="s">
        <v>3</v>
      </c>
      <c r="D220" s="195" t="s">
        <v>59</v>
      </c>
      <c r="E220" s="195" t="s">
        <v>59</v>
      </c>
      <c r="F220" s="196" t="s">
        <v>59</v>
      </c>
      <c r="G220" s="196" t="s">
        <v>59</v>
      </c>
      <c r="H220" s="196"/>
      <c r="I220" s="195"/>
      <c r="J220" s="180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AB220" s="174" t="str">
        <f t="shared" ref="AB220:AB221" si="78">B220</f>
        <v>Hugo Ekitike (A)</v>
      </c>
    </row>
    <row r="221" spans="1:28" ht="10.5" customHeight="1" x14ac:dyDescent="0.2">
      <c r="A221" s="200">
        <v>19</v>
      </c>
      <c r="B221" s="194" t="s">
        <v>662</v>
      </c>
      <c r="C221" s="194" t="s">
        <v>3</v>
      </c>
      <c r="D221" s="195" t="s">
        <v>59</v>
      </c>
      <c r="E221" s="195" t="s">
        <v>59</v>
      </c>
      <c r="F221" s="196" t="s">
        <v>59</v>
      </c>
      <c r="G221" s="196" t="s">
        <v>59</v>
      </c>
      <c r="H221" s="196"/>
      <c r="I221" s="195"/>
      <c r="J221" s="180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AB221" s="174" t="str">
        <f t="shared" si="78"/>
        <v>Jean-Matteo Bahoya (A)</v>
      </c>
    </row>
    <row r="222" spans="1:28" ht="10.5" customHeight="1" x14ac:dyDescent="0.2">
      <c r="A222" s="200">
        <v>36</v>
      </c>
      <c r="B222" s="194" t="s">
        <v>253</v>
      </c>
      <c r="C222" s="194" t="s">
        <v>3</v>
      </c>
      <c r="D222" s="195" t="s">
        <v>59</v>
      </c>
      <c r="E222" s="195" t="s">
        <v>59</v>
      </c>
      <c r="F222" s="196" t="s">
        <v>59</v>
      </c>
      <c r="G222" s="196" t="s">
        <v>59</v>
      </c>
      <c r="H222" s="196"/>
      <c r="I222" s="195"/>
      <c r="J222" s="180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AB222" s="174" t="str">
        <f t="shared" ref="AB222:AB224" si="79">B222</f>
        <v>Ansgar Knauff</v>
      </c>
    </row>
    <row r="223" spans="1:28" ht="10.5" customHeight="1" x14ac:dyDescent="0.2">
      <c r="A223" s="200">
        <v>43</v>
      </c>
      <c r="B223" s="194" t="s">
        <v>438</v>
      </c>
      <c r="C223" s="194" t="s">
        <v>3</v>
      </c>
      <c r="D223" s="195" t="s">
        <v>59</v>
      </c>
      <c r="E223" s="195" t="s">
        <v>59</v>
      </c>
      <c r="F223" s="196" t="s">
        <v>59</v>
      </c>
      <c r="G223" s="196" t="s">
        <v>59</v>
      </c>
      <c r="H223" s="196"/>
      <c r="I223" s="195"/>
      <c r="J223" s="180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AB223" s="174" t="str">
        <f t="shared" ref="AB223" si="80">B223</f>
        <v>Noel Futkeu</v>
      </c>
    </row>
    <row r="224" spans="1:28" ht="10.5" customHeight="1" x14ac:dyDescent="0.2">
      <c r="A224" s="200">
        <v>48</v>
      </c>
      <c r="B224" s="194" t="s">
        <v>560</v>
      </c>
      <c r="C224" s="194" t="s">
        <v>3</v>
      </c>
      <c r="D224" s="195" t="s">
        <v>59</v>
      </c>
      <c r="E224" s="195" t="s">
        <v>59</v>
      </c>
      <c r="F224" s="196" t="s">
        <v>59</v>
      </c>
      <c r="G224" s="196" t="s">
        <v>59</v>
      </c>
      <c r="H224" s="196"/>
      <c r="I224" s="195"/>
      <c r="J224" s="180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AB224" s="174" t="str">
        <f t="shared" si="79"/>
        <v>Nacho Ferri (A)</v>
      </c>
    </row>
    <row r="225" spans="1:28" ht="15" customHeight="1" thickBot="1" x14ac:dyDescent="0.25">
      <c r="A225" s="219" t="s">
        <v>31</v>
      </c>
      <c r="B225" s="219"/>
      <c r="C225" s="219"/>
      <c r="D225" s="219"/>
      <c r="E225" s="219"/>
      <c r="F225" s="219"/>
      <c r="G225" s="219"/>
      <c r="H225" s="219"/>
      <c r="I225" s="219"/>
      <c r="J225" s="10"/>
      <c r="K225" s="175">
        <v>12</v>
      </c>
      <c r="L225" s="175">
        <v>12</v>
      </c>
      <c r="M225" s="175">
        <v>12</v>
      </c>
      <c r="N225" s="175">
        <v>12</v>
      </c>
      <c r="O225" s="175">
        <v>12</v>
      </c>
      <c r="P225" s="175">
        <v>12</v>
      </c>
      <c r="Q225" s="175">
        <v>12</v>
      </c>
      <c r="R225" s="175">
        <v>12</v>
      </c>
      <c r="S225" s="175">
        <v>12</v>
      </c>
      <c r="T225" s="175">
        <v>12</v>
      </c>
      <c r="U225" s="175">
        <v>12</v>
      </c>
      <c r="V225" s="175">
        <v>12</v>
      </c>
      <c r="W225" s="175">
        <v>12</v>
      </c>
      <c r="X225" s="175">
        <v>12</v>
      </c>
      <c r="Y225" s="175">
        <v>12</v>
      </c>
      <c r="Z225" s="216"/>
      <c r="AB225" s="174" t="str">
        <f>A225</f>
        <v>VfL Wolfsburg</v>
      </c>
    </row>
    <row r="226" spans="1:28" s="113" customFormat="1" ht="10.5" customHeight="1" x14ac:dyDescent="0.2">
      <c r="A226" s="176">
        <v>1</v>
      </c>
      <c r="B226" s="177" t="s">
        <v>101</v>
      </c>
      <c r="C226" s="177" t="s">
        <v>0</v>
      </c>
      <c r="D226" s="178" t="s">
        <v>59</v>
      </c>
      <c r="E226" s="178" t="s">
        <v>59</v>
      </c>
      <c r="F226" s="179" t="s">
        <v>59</v>
      </c>
      <c r="G226" s="179" t="s">
        <v>59</v>
      </c>
      <c r="H226" s="179"/>
      <c r="I226" s="178"/>
      <c r="J226" s="180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71"/>
      <c r="AB226" s="174" t="str">
        <f t="shared" ref="AB226" si="81">B226</f>
        <v>Koen Casteels (A)</v>
      </c>
    </row>
    <row r="227" spans="1:28" s="113" customFormat="1" ht="10.5" customHeight="1" x14ac:dyDescent="0.2">
      <c r="A227" s="176">
        <v>12</v>
      </c>
      <c r="B227" s="177" t="s">
        <v>171</v>
      </c>
      <c r="C227" s="177" t="s">
        <v>0</v>
      </c>
      <c r="D227" s="178" t="s">
        <v>59</v>
      </c>
      <c r="E227" s="178" t="s">
        <v>59</v>
      </c>
      <c r="F227" s="179" t="s">
        <v>59</v>
      </c>
      <c r="G227" s="179" t="s">
        <v>59</v>
      </c>
      <c r="H227" s="179"/>
      <c r="I227" s="178"/>
      <c r="J227" s="180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71"/>
      <c r="AB227" s="174" t="str">
        <f t="shared" ref="AB227" si="82">B227</f>
        <v>Pavao Pervan (A)</v>
      </c>
    </row>
    <row r="228" spans="1:28" s="113" customFormat="1" ht="10.5" customHeight="1" x14ac:dyDescent="0.2">
      <c r="A228" s="176">
        <v>30</v>
      </c>
      <c r="B228" s="177" t="s">
        <v>187</v>
      </c>
      <c r="C228" s="177" t="s">
        <v>0</v>
      </c>
      <c r="D228" s="178" t="s">
        <v>59</v>
      </c>
      <c r="E228" s="178" t="s">
        <v>59</v>
      </c>
      <c r="F228" s="179" t="s">
        <v>59</v>
      </c>
      <c r="G228" s="179" t="s">
        <v>59</v>
      </c>
      <c r="H228" s="179"/>
      <c r="I228" s="178"/>
      <c r="J228" s="180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71"/>
      <c r="AB228" s="174" t="str">
        <f t="shared" ref="AB228" si="83">B228</f>
        <v>Niklas Klinger</v>
      </c>
    </row>
    <row r="229" spans="1:28" s="113" customFormat="1" ht="10.5" customHeight="1" x14ac:dyDescent="0.2">
      <c r="A229" s="197">
        <v>2</v>
      </c>
      <c r="B229" s="198" t="s">
        <v>349</v>
      </c>
      <c r="C229" s="184" t="s">
        <v>1</v>
      </c>
      <c r="D229" s="185" t="s">
        <v>59</v>
      </c>
      <c r="E229" s="185" t="s">
        <v>59</v>
      </c>
      <c r="F229" s="186" t="s">
        <v>59</v>
      </c>
      <c r="G229" s="186" t="s">
        <v>59</v>
      </c>
      <c r="H229" s="186"/>
      <c r="I229" s="185"/>
      <c r="J229" s="180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71"/>
      <c r="AB229" s="174" t="str">
        <f t="shared" ref="AB229" si="84">B229</f>
        <v>Kilian Fischer</v>
      </c>
    </row>
    <row r="230" spans="1:28" s="113" customFormat="1" ht="10.5" customHeight="1" x14ac:dyDescent="0.2">
      <c r="A230" s="197">
        <v>3</v>
      </c>
      <c r="B230" s="198" t="s">
        <v>203</v>
      </c>
      <c r="C230" s="184" t="s">
        <v>1</v>
      </c>
      <c r="D230" s="185" t="s">
        <v>59</v>
      </c>
      <c r="E230" s="185" t="s">
        <v>59</v>
      </c>
      <c r="F230" s="186" t="s">
        <v>59</v>
      </c>
      <c r="G230" s="186" t="s">
        <v>59</v>
      </c>
      <c r="H230" s="186"/>
      <c r="I230" s="185"/>
      <c r="J230" s="180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71"/>
      <c r="AB230" s="174" t="str">
        <f t="shared" ref="AB230:AB234" si="85">B230</f>
        <v>Sebastiaan Bornauw (A)</v>
      </c>
    </row>
    <row r="231" spans="1:28" s="113" customFormat="1" ht="10.5" customHeight="1" x14ac:dyDescent="0.2">
      <c r="A231" s="197">
        <v>4</v>
      </c>
      <c r="B231" s="198" t="s">
        <v>231</v>
      </c>
      <c r="C231" s="184" t="s">
        <v>1</v>
      </c>
      <c r="D231" s="185" t="s">
        <v>59</v>
      </c>
      <c r="E231" s="185" t="s">
        <v>59</v>
      </c>
      <c r="F231" s="186" t="s">
        <v>59</v>
      </c>
      <c r="G231" s="186" t="s">
        <v>59</v>
      </c>
      <c r="H231" s="186"/>
      <c r="I231" s="185"/>
      <c r="J231" s="180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71"/>
      <c r="AB231" s="174" t="str">
        <f t="shared" si="85"/>
        <v>Maxence Lacroix (A)</v>
      </c>
    </row>
    <row r="232" spans="1:28" s="113" customFormat="1" ht="10.5" customHeight="1" x14ac:dyDescent="0.2">
      <c r="A232" s="197">
        <v>5</v>
      </c>
      <c r="B232" s="198" t="s">
        <v>584</v>
      </c>
      <c r="C232" s="184" t="s">
        <v>1</v>
      </c>
      <c r="D232" s="185" t="s">
        <v>59</v>
      </c>
      <c r="E232" s="185" t="s">
        <v>59</v>
      </c>
      <c r="F232" s="186" t="s">
        <v>59</v>
      </c>
      <c r="G232" s="186" t="s">
        <v>59</v>
      </c>
      <c r="H232" s="186"/>
      <c r="I232" s="185"/>
      <c r="J232" s="180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71"/>
      <c r="AB232" s="174" t="str">
        <f>B232</f>
        <v>Cédric Zesiger (A)</v>
      </c>
    </row>
    <row r="233" spans="1:28" s="113" customFormat="1" ht="10.5" customHeight="1" x14ac:dyDescent="0.2">
      <c r="A233" s="197">
        <v>13</v>
      </c>
      <c r="B233" s="198" t="s">
        <v>583</v>
      </c>
      <c r="C233" s="184" t="s">
        <v>1</v>
      </c>
      <c r="D233" s="185" t="s">
        <v>59</v>
      </c>
      <c r="E233" s="185" t="s">
        <v>59</v>
      </c>
      <c r="F233" s="186" t="s">
        <v>59</v>
      </c>
      <c r="G233" s="186" t="s">
        <v>59</v>
      </c>
      <c r="H233" s="186"/>
      <c r="I233" s="185"/>
      <c r="J233" s="180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71"/>
      <c r="AB233" s="174" t="str">
        <f t="shared" si="85"/>
        <v>Rogério (A)</v>
      </c>
    </row>
    <row r="234" spans="1:28" s="113" customFormat="1" ht="10.5" customHeight="1" x14ac:dyDescent="0.2">
      <c r="A234" s="197">
        <v>21</v>
      </c>
      <c r="B234" s="198" t="s">
        <v>543</v>
      </c>
      <c r="C234" s="184" t="s">
        <v>1</v>
      </c>
      <c r="D234" s="185" t="s">
        <v>59</v>
      </c>
      <c r="E234" s="185" t="s">
        <v>59</v>
      </c>
      <c r="F234" s="186" t="s">
        <v>59</v>
      </c>
      <c r="G234" s="186" t="s">
        <v>59</v>
      </c>
      <c r="H234" s="186"/>
      <c r="I234" s="185"/>
      <c r="J234" s="180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71"/>
      <c r="AB234" s="174" t="str">
        <f t="shared" si="85"/>
        <v>Joakim Maehle (A)</v>
      </c>
    </row>
    <row r="235" spans="1:28" s="113" customFormat="1" ht="10.5" customHeight="1" x14ac:dyDescent="0.2">
      <c r="A235" s="197">
        <v>25</v>
      </c>
      <c r="B235" s="198" t="s">
        <v>439</v>
      </c>
      <c r="C235" s="184" t="s">
        <v>1</v>
      </c>
      <c r="D235" s="185" t="s">
        <v>59</v>
      </c>
      <c r="E235" s="185" t="s">
        <v>59</v>
      </c>
      <c r="F235" s="186" t="s">
        <v>59</v>
      </c>
      <c r="G235" s="186" t="s">
        <v>59</v>
      </c>
      <c r="H235" s="186"/>
      <c r="I235" s="185"/>
      <c r="J235" s="180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71"/>
      <c r="AB235" s="174" t="str">
        <f t="shared" ref="AB235" si="86">B235</f>
        <v>Moritz Jenz (A)</v>
      </c>
    </row>
    <row r="236" spans="1:28" s="113" customFormat="1" ht="10.5" customHeight="1" x14ac:dyDescent="0.2">
      <c r="A236" s="199">
        <v>6</v>
      </c>
      <c r="B236" s="189" t="s">
        <v>440</v>
      </c>
      <c r="C236" s="189" t="s">
        <v>2</v>
      </c>
      <c r="D236" s="190" t="s">
        <v>59</v>
      </c>
      <c r="E236" s="190" t="s">
        <v>59</v>
      </c>
      <c r="F236" s="191" t="s">
        <v>59</v>
      </c>
      <c r="G236" s="191" t="s">
        <v>59</v>
      </c>
      <c r="H236" s="191"/>
      <c r="I236" s="190"/>
      <c r="J236" s="180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71"/>
      <c r="AB236" s="174" t="str">
        <f t="shared" ref="AB236:AB245" si="87">B236</f>
        <v>Aster Vranckx (A)</v>
      </c>
    </row>
    <row r="237" spans="1:28" s="113" customFormat="1" ht="10.5" customHeight="1" x14ac:dyDescent="0.2">
      <c r="A237" s="199">
        <v>7</v>
      </c>
      <c r="B237" s="189" t="s">
        <v>582</v>
      </c>
      <c r="C237" s="189" t="s">
        <v>2</v>
      </c>
      <c r="D237" s="190" t="s">
        <v>59</v>
      </c>
      <c r="E237" s="190" t="s">
        <v>59</v>
      </c>
      <c r="F237" s="191" t="s">
        <v>59</v>
      </c>
      <c r="G237" s="191" t="s">
        <v>59</v>
      </c>
      <c r="H237" s="191"/>
      <c r="I237" s="190"/>
      <c r="J237" s="180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71"/>
      <c r="AB237" s="174" t="str">
        <f t="shared" ref="AB237:AB243" si="88">B237</f>
        <v>Václav Černý (A)</v>
      </c>
    </row>
    <row r="238" spans="1:28" s="113" customFormat="1" ht="10.5" customHeight="1" x14ac:dyDescent="0.2">
      <c r="A238" s="199">
        <v>16</v>
      </c>
      <c r="B238" s="189" t="s">
        <v>350</v>
      </c>
      <c r="C238" s="189" t="s">
        <v>2</v>
      </c>
      <c r="D238" s="190" t="s">
        <v>59</v>
      </c>
      <c r="E238" s="190" t="s">
        <v>59</v>
      </c>
      <c r="F238" s="191" t="s">
        <v>59</v>
      </c>
      <c r="G238" s="191" t="s">
        <v>59</v>
      </c>
      <c r="H238" s="191"/>
      <c r="I238" s="190"/>
      <c r="J238" s="180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71"/>
      <c r="AB238" s="174" t="str">
        <f t="shared" si="88"/>
        <v>Jakub Kaminski (A)</v>
      </c>
    </row>
    <row r="239" spans="1:28" s="113" customFormat="1" ht="10.5" customHeight="1" x14ac:dyDescent="0.2">
      <c r="A239" s="199">
        <v>19</v>
      </c>
      <c r="B239" s="189" t="s">
        <v>555</v>
      </c>
      <c r="C239" s="189" t="s">
        <v>2</v>
      </c>
      <c r="D239" s="190" t="s">
        <v>59</v>
      </c>
      <c r="E239" s="190" t="s">
        <v>59</v>
      </c>
      <c r="F239" s="191" t="s">
        <v>59</v>
      </c>
      <c r="G239" s="191" t="s">
        <v>59</v>
      </c>
      <c r="H239" s="191"/>
      <c r="I239" s="190"/>
      <c r="J239" s="180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71"/>
      <c r="AB239" s="174" t="str">
        <f t="shared" ref="AB239" si="89">B239</f>
        <v>Lovro Majer (A)</v>
      </c>
    </row>
    <row r="240" spans="1:28" s="113" customFormat="1" ht="10.5" customHeight="1" x14ac:dyDescent="0.2">
      <c r="A240" s="199">
        <v>20</v>
      </c>
      <c r="B240" s="189" t="s">
        <v>195</v>
      </c>
      <c r="C240" s="189" t="s">
        <v>2</v>
      </c>
      <c r="D240" s="190" t="s">
        <v>59</v>
      </c>
      <c r="E240" s="190" t="s">
        <v>59</v>
      </c>
      <c r="F240" s="191" t="s">
        <v>59</v>
      </c>
      <c r="G240" s="191" t="s">
        <v>59</v>
      </c>
      <c r="H240" s="191"/>
      <c r="I240" s="190"/>
      <c r="J240" s="180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71"/>
      <c r="AB240" s="174" t="str">
        <f t="shared" si="88"/>
        <v>Ridle Baku</v>
      </c>
    </row>
    <row r="241" spans="1:28" s="113" customFormat="1" ht="10.5" customHeight="1" x14ac:dyDescent="0.2">
      <c r="A241" s="199">
        <v>27</v>
      </c>
      <c r="B241" s="189" t="s">
        <v>108</v>
      </c>
      <c r="C241" s="189" t="s">
        <v>2</v>
      </c>
      <c r="D241" s="190" t="s">
        <v>59</v>
      </c>
      <c r="E241" s="190" t="s">
        <v>59</v>
      </c>
      <c r="F241" s="191" t="s">
        <v>59</v>
      </c>
      <c r="G241" s="191" t="s">
        <v>59</v>
      </c>
      <c r="H241" s="191"/>
      <c r="I241" s="190"/>
      <c r="J241" s="180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71"/>
      <c r="AB241" s="174" t="str">
        <f t="shared" si="88"/>
        <v>Maximilian Arnold</v>
      </c>
    </row>
    <row r="242" spans="1:28" s="113" customFormat="1" ht="10.5" customHeight="1" x14ac:dyDescent="0.2">
      <c r="A242" s="199">
        <v>31</v>
      </c>
      <c r="B242" s="189" t="s">
        <v>172</v>
      </c>
      <c r="C242" s="189" t="s">
        <v>2</v>
      </c>
      <c r="D242" s="190" t="s">
        <v>59</v>
      </c>
      <c r="E242" s="190" t="s">
        <v>59</v>
      </c>
      <c r="F242" s="191" t="s">
        <v>59</v>
      </c>
      <c r="G242" s="191" t="s">
        <v>59</v>
      </c>
      <c r="H242" s="191"/>
      <c r="I242" s="190"/>
      <c r="J242" s="180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71"/>
      <c r="AB242" s="174" t="str">
        <f t="shared" si="88"/>
        <v>Yannick Gerhardt</v>
      </c>
    </row>
    <row r="243" spans="1:28" s="113" customFormat="1" ht="10.5" customHeight="1" x14ac:dyDescent="0.2">
      <c r="A243" s="199">
        <v>32</v>
      </c>
      <c r="B243" s="189" t="s">
        <v>351</v>
      </c>
      <c r="C243" s="189" t="s">
        <v>2</v>
      </c>
      <c r="D243" s="190" t="s">
        <v>59</v>
      </c>
      <c r="E243" s="190" t="s">
        <v>59</v>
      </c>
      <c r="F243" s="191" t="s">
        <v>59</v>
      </c>
      <c r="G243" s="191" t="s">
        <v>59</v>
      </c>
      <c r="H243" s="191"/>
      <c r="I243" s="190"/>
      <c r="J243" s="180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71"/>
      <c r="AB243" s="174" t="str">
        <f t="shared" si="88"/>
        <v>Mattias Svanberg (A)</v>
      </c>
    </row>
    <row r="244" spans="1:28" s="113" customFormat="1" ht="10.5" customHeight="1" x14ac:dyDescent="0.2">
      <c r="A244" s="199">
        <v>39</v>
      </c>
      <c r="B244" s="189" t="s">
        <v>290</v>
      </c>
      <c r="C244" s="189" t="s">
        <v>2</v>
      </c>
      <c r="D244" s="190" t="s">
        <v>59</v>
      </c>
      <c r="E244" s="190" t="s">
        <v>59</v>
      </c>
      <c r="F244" s="191" t="s">
        <v>59</v>
      </c>
      <c r="G244" s="191" t="s">
        <v>59</v>
      </c>
      <c r="H244" s="191"/>
      <c r="I244" s="190"/>
      <c r="J244" s="180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71"/>
      <c r="AB244" s="174" t="str">
        <f t="shared" si="87"/>
        <v>Patrick Wimmer (A)</v>
      </c>
    </row>
    <row r="245" spans="1:28" s="113" customFormat="1" ht="10.5" customHeight="1" x14ac:dyDescent="0.2">
      <c r="A245" s="199">
        <v>40</v>
      </c>
      <c r="B245" s="189" t="s">
        <v>313</v>
      </c>
      <c r="C245" s="189" t="s">
        <v>2</v>
      </c>
      <c r="D245" s="190" t="s">
        <v>59</v>
      </c>
      <c r="E245" s="190" t="s">
        <v>59</v>
      </c>
      <c r="F245" s="191" t="s">
        <v>59</v>
      </c>
      <c r="G245" s="191" t="s">
        <v>59</v>
      </c>
      <c r="H245" s="191"/>
      <c r="I245" s="190"/>
      <c r="J245" s="180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71"/>
      <c r="AB245" s="174" t="str">
        <f t="shared" si="87"/>
        <v>Kevin Paredes (A)</v>
      </c>
    </row>
    <row r="246" spans="1:28" s="113" customFormat="1" ht="10.5" customHeight="1" x14ac:dyDescent="0.2">
      <c r="A246" s="199">
        <v>41</v>
      </c>
      <c r="B246" s="189" t="s">
        <v>632</v>
      </c>
      <c r="C246" s="189" t="s">
        <v>2</v>
      </c>
      <c r="D246" s="190" t="s">
        <v>59</v>
      </c>
      <c r="E246" s="190" t="s">
        <v>59</v>
      </c>
      <c r="F246" s="191" t="s">
        <v>59</v>
      </c>
      <c r="G246" s="191" t="s">
        <v>59</v>
      </c>
      <c r="H246" s="191"/>
      <c r="I246" s="190"/>
      <c r="J246" s="180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71"/>
      <c r="AB246" s="174" t="str">
        <f t="shared" ref="AB246:AB247" si="90">B246</f>
        <v>Kofi Amoako</v>
      </c>
    </row>
    <row r="247" spans="1:28" s="113" customFormat="1" ht="10.5" customHeight="1" x14ac:dyDescent="0.2">
      <c r="A247" s="200">
        <v>9</v>
      </c>
      <c r="B247" s="194" t="s">
        <v>608</v>
      </c>
      <c r="C247" s="194" t="s">
        <v>3</v>
      </c>
      <c r="D247" s="195" t="s">
        <v>59</v>
      </c>
      <c r="E247" s="195" t="s">
        <v>59</v>
      </c>
      <c r="F247" s="196" t="s">
        <v>59</v>
      </c>
      <c r="G247" s="196" t="s">
        <v>59</v>
      </c>
      <c r="H247" s="196"/>
      <c r="I247" s="195"/>
      <c r="J247" s="180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71"/>
      <c r="AB247" s="174" t="str">
        <f t="shared" si="90"/>
        <v>Amin Sarr (A)</v>
      </c>
    </row>
    <row r="248" spans="1:28" s="113" customFormat="1" ht="10.5" customHeight="1" x14ac:dyDescent="0.2">
      <c r="A248" s="200">
        <v>10</v>
      </c>
      <c r="B248" s="194" t="s">
        <v>269</v>
      </c>
      <c r="C248" s="194" t="s">
        <v>3</v>
      </c>
      <c r="D248" s="195" t="s">
        <v>59</v>
      </c>
      <c r="E248" s="195" t="s">
        <v>59</v>
      </c>
      <c r="F248" s="196" t="s">
        <v>59</v>
      </c>
      <c r="G248" s="196" t="s">
        <v>59</v>
      </c>
      <c r="H248" s="196"/>
      <c r="I248" s="195"/>
      <c r="J248" s="180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71"/>
      <c r="AB248" s="174" t="str">
        <f t="shared" ref="AB248" si="91">B248</f>
        <v>Lukas Nmecha</v>
      </c>
    </row>
    <row r="249" spans="1:28" s="113" customFormat="1" ht="10.5" customHeight="1" x14ac:dyDescent="0.2">
      <c r="A249" s="200">
        <v>11</v>
      </c>
      <c r="B249" s="194" t="s">
        <v>581</v>
      </c>
      <c r="C249" s="194" t="s">
        <v>3</v>
      </c>
      <c r="D249" s="195" t="s">
        <v>59</v>
      </c>
      <c r="E249" s="195" t="s">
        <v>59</v>
      </c>
      <c r="F249" s="196" t="s">
        <v>59</v>
      </c>
      <c r="G249" s="196" t="s">
        <v>59</v>
      </c>
      <c r="H249" s="196"/>
      <c r="I249" s="195"/>
      <c r="J249" s="180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71"/>
      <c r="AB249" s="174" t="str">
        <f t="shared" ref="AB249:AB251" si="92">B249</f>
        <v>Tiago Tomás (A)</v>
      </c>
    </row>
    <row r="250" spans="1:28" s="113" customFormat="1" ht="10.5" customHeight="1" x14ac:dyDescent="0.2">
      <c r="A250" s="200">
        <v>17</v>
      </c>
      <c r="B250" s="194" t="s">
        <v>271</v>
      </c>
      <c r="C250" s="194" t="s">
        <v>3</v>
      </c>
      <c r="D250" s="195" t="s">
        <v>59</v>
      </c>
      <c r="E250" s="195" t="s">
        <v>59</v>
      </c>
      <c r="F250" s="196" t="s">
        <v>59</v>
      </c>
      <c r="G250" s="196" t="s">
        <v>59</v>
      </c>
      <c r="H250" s="196"/>
      <c r="I250" s="195"/>
      <c r="J250" s="180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71"/>
      <c r="AB250" s="174" t="str">
        <f t="shared" ref="AB250" si="93">B250</f>
        <v>Kevin Behrens</v>
      </c>
    </row>
    <row r="251" spans="1:28" s="113" customFormat="1" ht="10.5" customHeight="1" x14ac:dyDescent="0.2">
      <c r="A251" s="200">
        <v>18</v>
      </c>
      <c r="B251" s="194" t="s">
        <v>580</v>
      </c>
      <c r="C251" s="194" t="s">
        <v>3</v>
      </c>
      <c r="D251" s="195" t="s">
        <v>59</v>
      </c>
      <c r="E251" s="195" t="s">
        <v>59</v>
      </c>
      <c r="F251" s="196" t="s">
        <v>59</v>
      </c>
      <c r="G251" s="196" t="s">
        <v>59</v>
      </c>
      <c r="H251" s="196"/>
      <c r="I251" s="195"/>
      <c r="J251" s="180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71"/>
      <c r="AB251" s="174" t="str">
        <f t="shared" si="92"/>
        <v>Dženan Pejčinović</v>
      </c>
    </row>
    <row r="252" spans="1:28" s="113" customFormat="1" ht="10.5" customHeight="1" x14ac:dyDescent="0.2">
      <c r="A252" s="200">
        <v>23</v>
      </c>
      <c r="B252" s="194" t="s">
        <v>314</v>
      </c>
      <c r="C252" s="194" t="s">
        <v>3</v>
      </c>
      <c r="D252" s="195" t="s">
        <v>59</v>
      </c>
      <c r="E252" s="195" t="s">
        <v>59</v>
      </c>
      <c r="F252" s="196" t="s">
        <v>59</v>
      </c>
      <c r="G252" s="196" t="s">
        <v>59</v>
      </c>
      <c r="H252" s="196"/>
      <c r="I252" s="195"/>
      <c r="J252" s="180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71"/>
      <c r="AB252" s="174" t="str">
        <f t="shared" ref="AB252" si="94">B252</f>
        <v>Jonas Wind (A)</v>
      </c>
    </row>
    <row r="253" spans="1:28" ht="15" customHeight="1" thickBot="1" x14ac:dyDescent="0.25">
      <c r="A253" s="219" t="s">
        <v>114</v>
      </c>
      <c r="B253" s="219"/>
      <c r="C253" s="219"/>
      <c r="D253" s="219"/>
      <c r="E253" s="219"/>
      <c r="F253" s="219"/>
      <c r="G253" s="219"/>
      <c r="H253" s="219"/>
      <c r="I253" s="219"/>
      <c r="J253" s="10"/>
      <c r="K253" s="175">
        <v>12</v>
      </c>
      <c r="L253" s="175">
        <v>12</v>
      </c>
      <c r="M253" s="175">
        <v>12</v>
      </c>
      <c r="N253" s="175">
        <v>12</v>
      </c>
      <c r="O253" s="175">
        <v>12</v>
      </c>
      <c r="P253" s="175">
        <v>12</v>
      </c>
      <c r="Q253" s="175">
        <v>12</v>
      </c>
      <c r="R253" s="175">
        <v>12</v>
      </c>
      <c r="S253" s="175">
        <v>12</v>
      </c>
      <c r="T253" s="175">
        <v>12</v>
      </c>
      <c r="U253" s="175">
        <v>12</v>
      </c>
      <c r="V253" s="175">
        <v>12</v>
      </c>
      <c r="W253" s="175">
        <v>12</v>
      </c>
      <c r="X253" s="175">
        <v>12</v>
      </c>
      <c r="Y253" s="175">
        <v>12</v>
      </c>
      <c r="Z253" s="216"/>
      <c r="AB253" s="174" t="str">
        <f>A253</f>
        <v>1. FSV Mainz</v>
      </c>
    </row>
    <row r="254" spans="1:28" ht="10.5" customHeight="1" x14ac:dyDescent="0.2">
      <c r="A254" s="176">
        <v>1</v>
      </c>
      <c r="B254" s="177" t="s">
        <v>284</v>
      </c>
      <c r="C254" s="177" t="s">
        <v>0</v>
      </c>
      <c r="D254" s="178" t="s">
        <v>59</v>
      </c>
      <c r="E254" s="178" t="s">
        <v>59</v>
      </c>
      <c r="F254" s="179" t="s">
        <v>59</v>
      </c>
      <c r="G254" s="179" t="s">
        <v>59</v>
      </c>
      <c r="H254" s="179"/>
      <c r="I254" s="178"/>
      <c r="J254" s="180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AB254" s="174" t="str">
        <f t="shared" ref="AB254" si="95">B254</f>
        <v>Lasse Riess</v>
      </c>
    </row>
    <row r="255" spans="1:28" ht="10.5" customHeight="1" x14ac:dyDescent="0.2">
      <c r="A255" s="176">
        <v>27</v>
      </c>
      <c r="B255" s="177" t="s">
        <v>167</v>
      </c>
      <c r="C255" s="177" t="s">
        <v>0</v>
      </c>
      <c r="D255" s="178" t="s">
        <v>59</v>
      </c>
      <c r="E255" s="178" t="s">
        <v>59</v>
      </c>
      <c r="F255" s="179" t="s">
        <v>59</v>
      </c>
      <c r="G255" s="179" t="s">
        <v>59</v>
      </c>
      <c r="H255" s="179"/>
      <c r="I255" s="178"/>
      <c r="J255" s="180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AB255" s="174" t="str">
        <f t="shared" ref="AB255:AB257" si="96">B255</f>
        <v>Robin Zentner</v>
      </c>
    </row>
    <row r="256" spans="1:28" ht="10.5" customHeight="1" x14ac:dyDescent="0.2">
      <c r="A256" s="176">
        <v>33</v>
      </c>
      <c r="B256" s="177" t="s">
        <v>441</v>
      </c>
      <c r="C256" s="177" t="s">
        <v>0</v>
      </c>
      <c r="D256" s="178" t="s">
        <v>59</v>
      </c>
      <c r="E256" s="178" t="s">
        <v>59</v>
      </c>
      <c r="F256" s="179" t="s">
        <v>59</v>
      </c>
      <c r="G256" s="179" t="s">
        <v>59</v>
      </c>
      <c r="H256" s="179"/>
      <c r="I256" s="178"/>
      <c r="J256" s="180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AB256" s="174" t="str">
        <f t="shared" si="96"/>
        <v>Daniel Batz</v>
      </c>
    </row>
    <row r="257" spans="1:28" ht="10.5" customHeight="1" x14ac:dyDescent="0.2">
      <c r="A257" s="197">
        <v>2</v>
      </c>
      <c r="B257" s="198" t="s">
        <v>598</v>
      </c>
      <c r="C257" s="184" t="s">
        <v>1</v>
      </c>
      <c r="D257" s="185" t="s">
        <v>59</v>
      </c>
      <c r="E257" s="185" t="s">
        <v>59</v>
      </c>
      <c r="F257" s="186" t="s">
        <v>59</v>
      </c>
      <c r="G257" s="186" t="s">
        <v>59</v>
      </c>
      <c r="H257" s="186"/>
      <c r="I257" s="185"/>
      <c r="J257" s="180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AB257" s="174" t="str">
        <f t="shared" si="96"/>
        <v>Philipp Mwene (A)</v>
      </c>
    </row>
    <row r="258" spans="1:28" ht="10.5" customHeight="1" x14ac:dyDescent="0.2">
      <c r="A258" s="197">
        <v>3</v>
      </c>
      <c r="B258" s="198" t="s">
        <v>378</v>
      </c>
      <c r="C258" s="184" t="s">
        <v>1</v>
      </c>
      <c r="D258" s="185" t="s">
        <v>59</v>
      </c>
      <c r="E258" s="185" t="s">
        <v>59</v>
      </c>
      <c r="F258" s="186" t="s">
        <v>59</v>
      </c>
      <c r="G258" s="186" t="s">
        <v>59</v>
      </c>
      <c r="H258" s="186"/>
      <c r="I258" s="185"/>
      <c r="J258" s="180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AB258" s="174" t="str">
        <f t="shared" ref="AB258" si="97">B258</f>
        <v>Sepp van den Berg (A)</v>
      </c>
    </row>
    <row r="259" spans="1:28" ht="10.5" customHeight="1" x14ac:dyDescent="0.2">
      <c r="A259" s="197">
        <v>5</v>
      </c>
      <c r="B259" s="198" t="s">
        <v>301</v>
      </c>
      <c r="C259" s="184" t="s">
        <v>1</v>
      </c>
      <c r="D259" s="185" t="s">
        <v>59</v>
      </c>
      <c r="E259" s="185" t="s">
        <v>59</v>
      </c>
      <c r="F259" s="186" t="s">
        <v>59</v>
      </c>
      <c r="G259" s="186" t="s">
        <v>59</v>
      </c>
      <c r="H259" s="186"/>
      <c r="I259" s="185"/>
      <c r="J259" s="180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AB259" s="174" t="str">
        <f t="shared" ref="AB259:AB266" si="98">B259</f>
        <v>Maxim Leitsch</v>
      </c>
    </row>
    <row r="260" spans="1:28" ht="10.5" customHeight="1" x14ac:dyDescent="0.2">
      <c r="A260" s="197">
        <v>16</v>
      </c>
      <c r="B260" s="198" t="s">
        <v>107</v>
      </c>
      <c r="C260" s="184" t="s">
        <v>1</v>
      </c>
      <c r="D260" s="185" t="s">
        <v>59</v>
      </c>
      <c r="E260" s="185" t="s">
        <v>59</v>
      </c>
      <c r="F260" s="186" t="s">
        <v>59</v>
      </c>
      <c r="G260" s="186" t="s">
        <v>59</v>
      </c>
      <c r="H260" s="186"/>
      <c r="I260" s="185"/>
      <c r="J260" s="180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AB260" s="174" t="str">
        <f t="shared" si="98"/>
        <v>Stefan Bell</v>
      </c>
    </row>
    <row r="261" spans="1:28" ht="10.5" customHeight="1" x14ac:dyDescent="0.2">
      <c r="A261" s="197">
        <v>19</v>
      </c>
      <c r="B261" s="198" t="s">
        <v>341</v>
      </c>
      <c r="C261" s="184" t="s">
        <v>1</v>
      </c>
      <c r="D261" s="185" t="s">
        <v>59</v>
      </c>
      <c r="E261" s="185" t="s">
        <v>59</v>
      </c>
      <c r="F261" s="186" t="s">
        <v>59</v>
      </c>
      <c r="G261" s="186" t="s">
        <v>59</v>
      </c>
      <c r="H261" s="186"/>
      <c r="I261" s="185"/>
      <c r="J261" s="180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AB261" s="174" t="str">
        <f t="shared" si="98"/>
        <v>Anthony Caci (A)</v>
      </c>
    </row>
    <row r="262" spans="1:28" ht="10.5" customHeight="1" x14ac:dyDescent="0.2">
      <c r="A262" s="197">
        <v>20</v>
      </c>
      <c r="B262" s="198" t="s">
        <v>342</v>
      </c>
      <c r="C262" s="184" t="s">
        <v>1</v>
      </c>
      <c r="D262" s="185" t="s">
        <v>59</v>
      </c>
      <c r="E262" s="185" t="s">
        <v>59</v>
      </c>
      <c r="F262" s="186" t="s">
        <v>59</v>
      </c>
      <c r="G262" s="186" t="s">
        <v>59</v>
      </c>
      <c r="H262" s="186"/>
      <c r="I262" s="185"/>
      <c r="J262" s="180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AB262" s="174" t="str">
        <f t="shared" si="98"/>
        <v>Edimilson Fernandes (A)</v>
      </c>
    </row>
    <row r="263" spans="1:28" ht="10.5" customHeight="1" x14ac:dyDescent="0.2">
      <c r="A263" s="197">
        <v>21</v>
      </c>
      <c r="B263" s="198" t="s">
        <v>127</v>
      </c>
      <c r="C263" s="184" t="s">
        <v>1</v>
      </c>
      <c r="D263" s="185" t="s">
        <v>59</v>
      </c>
      <c r="E263" s="185" t="s">
        <v>59</v>
      </c>
      <c r="F263" s="186" t="s">
        <v>59</v>
      </c>
      <c r="G263" s="186" t="s">
        <v>59</v>
      </c>
      <c r="H263" s="186"/>
      <c r="I263" s="185"/>
      <c r="J263" s="180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AB263" s="174" t="str">
        <f t="shared" ref="AB263" si="99">B263</f>
        <v>Danny da Costa</v>
      </c>
    </row>
    <row r="264" spans="1:28" ht="10.5" customHeight="1" x14ac:dyDescent="0.2">
      <c r="A264" s="197">
        <v>25</v>
      </c>
      <c r="B264" s="198" t="s">
        <v>399</v>
      </c>
      <c r="C264" s="184" t="s">
        <v>1</v>
      </c>
      <c r="D264" s="185" t="s">
        <v>59</v>
      </c>
      <c r="E264" s="185" t="s">
        <v>59</v>
      </c>
      <c r="F264" s="186" t="s">
        <v>59</v>
      </c>
      <c r="G264" s="186" t="s">
        <v>59</v>
      </c>
      <c r="H264" s="186"/>
      <c r="I264" s="185"/>
      <c r="J264" s="180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AB264" s="174" t="str">
        <f t="shared" si="98"/>
        <v>Andreas Hanche-Olsen (A)</v>
      </c>
    </row>
    <row r="265" spans="1:28" ht="10.5" customHeight="1" x14ac:dyDescent="0.2">
      <c r="A265" s="197">
        <v>30</v>
      </c>
      <c r="B265" s="198" t="s">
        <v>285</v>
      </c>
      <c r="C265" s="184" t="s">
        <v>1</v>
      </c>
      <c r="D265" s="185" t="s">
        <v>59</v>
      </c>
      <c r="E265" s="185" t="s">
        <v>59</v>
      </c>
      <c r="F265" s="186" t="s">
        <v>59</v>
      </c>
      <c r="G265" s="186" t="s">
        <v>59</v>
      </c>
      <c r="H265" s="186"/>
      <c r="I265" s="185"/>
      <c r="J265" s="180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AB265" s="174" t="str">
        <f t="shared" ref="AB265" si="100">B265</f>
        <v>Silvan Widmer (A)</v>
      </c>
    </row>
    <row r="266" spans="1:28" ht="10.5" customHeight="1" x14ac:dyDescent="0.2">
      <c r="A266" s="197">
        <v>47</v>
      </c>
      <c r="B266" s="198" t="s">
        <v>633</v>
      </c>
      <c r="C266" s="184" t="s">
        <v>1</v>
      </c>
      <c r="D266" s="185" t="s">
        <v>59</v>
      </c>
      <c r="E266" s="185" t="s">
        <v>59</v>
      </c>
      <c r="F266" s="186" t="s">
        <v>59</v>
      </c>
      <c r="G266" s="186" t="s">
        <v>59</v>
      </c>
      <c r="H266" s="186"/>
      <c r="I266" s="185"/>
      <c r="J266" s="180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AB266" s="174" t="str">
        <f t="shared" si="98"/>
        <v>Lasse Wilhelm</v>
      </c>
    </row>
    <row r="267" spans="1:28" ht="10.5" customHeight="1" x14ac:dyDescent="0.2">
      <c r="A267" s="199">
        <v>7</v>
      </c>
      <c r="B267" s="189" t="s">
        <v>287</v>
      </c>
      <c r="C267" s="189" t="s">
        <v>2</v>
      </c>
      <c r="D267" s="190" t="s">
        <v>59</v>
      </c>
      <c r="E267" s="190" t="s">
        <v>59</v>
      </c>
      <c r="F267" s="191" t="s">
        <v>59</v>
      </c>
      <c r="G267" s="191" t="s">
        <v>59</v>
      </c>
      <c r="H267" s="191"/>
      <c r="I267" s="190"/>
      <c r="J267" s="180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AB267" s="174" t="str">
        <f t="shared" ref="AB267:AB272" si="101">B267</f>
        <v>Jae-Sung Lee</v>
      </c>
    </row>
    <row r="268" spans="1:28" ht="10.5" customHeight="1" x14ac:dyDescent="0.2">
      <c r="A268" s="199">
        <v>8</v>
      </c>
      <c r="B268" s="189" t="s">
        <v>219</v>
      </c>
      <c r="C268" s="189" t="s">
        <v>2</v>
      </c>
      <c r="D268" s="190" t="s">
        <v>59</v>
      </c>
      <c r="E268" s="190" t="s">
        <v>59</v>
      </c>
      <c r="F268" s="191" t="s">
        <v>59</v>
      </c>
      <c r="G268" s="191" t="s">
        <v>59</v>
      </c>
      <c r="H268" s="191"/>
      <c r="I268" s="190"/>
      <c r="J268" s="180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AB268" s="174" t="str">
        <f t="shared" si="101"/>
        <v>Leandro Barreiro (A)</v>
      </c>
    </row>
    <row r="269" spans="1:28" ht="10.5" customHeight="1" x14ac:dyDescent="0.2">
      <c r="A269" s="199">
        <v>10</v>
      </c>
      <c r="B269" s="189" t="s">
        <v>562</v>
      </c>
      <c r="C269" s="189" t="s">
        <v>2</v>
      </c>
      <c r="D269" s="190" t="s">
        <v>59</v>
      </c>
      <c r="E269" s="190" t="s">
        <v>59</v>
      </c>
      <c r="F269" s="191" t="s">
        <v>59</v>
      </c>
      <c r="G269" s="191" t="s">
        <v>59</v>
      </c>
      <c r="H269" s="191"/>
      <c r="I269" s="190"/>
      <c r="J269" s="180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AB269" s="174" t="str">
        <f t="shared" ref="AB269" si="102">B269</f>
        <v>Marco Richter</v>
      </c>
    </row>
    <row r="270" spans="1:28" ht="10.5" customHeight="1" x14ac:dyDescent="0.2">
      <c r="A270" s="199">
        <v>14</v>
      </c>
      <c r="B270" s="189" t="s">
        <v>357</v>
      </c>
      <c r="C270" s="189" t="s">
        <v>2</v>
      </c>
      <c r="D270" s="190" t="s">
        <v>59</v>
      </c>
      <c r="E270" s="190" t="s">
        <v>59</v>
      </c>
      <c r="F270" s="191" t="s">
        <v>59</v>
      </c>
      <c r="G270" s="191" t="s">
        <v>59</v>
      </c>
      <c r="H270" s="191"/>
      <c r="I270" s="190"/>
      <c r="J270" s="180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AB270" s="174" t="str">
        <f t="shared" si="101"/>
        <v>Tom Krauss</v>
      </c>
    </row>
    <row r="271" spans="1:28" ht="10.5" customHeight="1" x14ac:dyDescent="0.2">
      <c r="A271" s="199">
        <v>18</v>
      </c>
      <c r="B271" s="189" t="s">
        <v>329</v>
      </c>
      <c r="C271" s="189" t="s">
        <v>2</v>
      </c>
      <c r="D271" s="190" t="s">
        <v>59</v>
      </c>
      <c r="E271" s="190" t="s">
        <v>59</v>
      </c>
      <c r="F271" s="191" t="s">
        <v>59</v>
      </c>
      <c r="G271" s="191" t="s">
        <v>59</v>
      </c>
      <c r="H271" s="191"/>
      <c r="I271" s="190"/>
      <c r="J271" s="180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AB271" s="174" t="str">
        <f t="shared" ref="AB271" si="103">B271</f>
        <v>Nadiem Amiri</v>
      </c>
    </row>
    <row r="272" spans="1:28" ht="10.5" customHeight="1" x14ac:dyDescent="0.2">
      <c r="A272" s="199">
        <v>24</v>
      </c>
      <c r="B272" s="189" t="s">
        <v>561</v>
      </c>
      <c r="C272" s="189" t="s">
        <v>2</v>
      </c>
      <c r="D272" s="190" t="s">
        <v>59</v>
      </c>
      <c r="E272" s="190" t="s">
        <v>59</v>
      </c>
      <c r="F272" s="191" t="s">
        <v>59</v>
      </c>
      <c r="G272" s="191" t="s">
        <v>59</v>
      </c>
      <c r="H272" s="191"/>
      <c r="I272" s="190"/>
      <c r="J272" s="180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AB272" s="174" t="str">
        <f t="shared" si="101"/>
        <v>Merveille Papela</v>
      </c>
    </row>
    <row r="273" spans="1:28" ht="10.5" customHeight="1" x14ac:dyDescent="0.2">
      <c r="A273" s="199">
        <v>31</v>
      </c>
      <c r="B273" s="189" t="s">
        <v>110</v>
      </c>
      <c r="C273" s="189" t="s">
        <v>2</v>
      </c>
      <c r="D273" s="190" t="s">
        <v>59</v>
      </c>
      <c r="E273" s="190" t="s">
        <v>59</v>
      </c>
      <c r="F273" s="191" t="s">
        <v>59</v>
      </c>
      <c r="G273" s="191" t="s">
        <v>59</v>
      </c>
      <c r="H273" s="191"/>
      <c r="I273" s="190"/>
      <c r="J273" s="180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AB273" s="174" t="str">
        <f t="shared" ref="AB273:AB275" si="104">B273</f>
        <v>Dominik Kohr</v>
      </c>
    </row>
    <row r="274" spans="1:28" ht="10.5" customHeight="1" x14ac:dyDescent="0.2">
      <c r="A274" s="199">
        <v>41</v>
      </c>
      <c r="B274" s="189" t="s">
        <v>316</v>
      </c>
      <c r="C274" s="189" t="s">
        <v>2</v>
      </c>
      <c r="D274" s="190" t="s">
        <v>59</v>
      </c>
      <c r="E274" s="190" t="s">
        <v>59</v>
      </c>
      <c r="F274" s="191" t="s">
        <v>59</v>
      </c>
      <c r="G274" s="191" t="s">
        <v>59</v>
      </c>
      <c r="H274" s="191"/>
      <c r="I274" s="190"/>
      <c r="J274" s="180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AB274" s="174" t="str">
        <f t="shared" si="104"/>
        <v>Eniss Shabani</v>
      </c>
    </row>
    <row r="275" spans="1:28" ht="10.5" customHeight="1" x14ac:dyDescent="0.2">
      <c r="A275" s="199">
        <v>45</v>
      </c>
      <c r="B275" s="189" t="s">
        <v>545</v>
      </c>
      <c r="C275" s="189" t="s">
        <v>2</v>
      </c>
      <c r="D275" s="190" t="s">
        <v>59</v>
      </c>
      <c r="E275" s="190" t="s">
        <v>59</v>
      </c>
      <c r="F275" s="191" t="s">
        <v>59</v>
      </c>
      <c r="G275" s="191" t="s">
        <v>59</v>
      </c>
      <c r="H275" s="191"/>
      <c r="I275" s="190"/>
      <c r="J275" s="180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AB275" s="174" t="str">
        <f t="shared" si="104"/>
        <v>David Mamutovic</v>
      </c>
    </row>
    <row r="276" spans="1:28" ht="10.5" customHeight="1" x14ac:dyDescent="0.2">
      <c r="A276" s="200">
        <v>9</v>
      </c>
      <c r="B276" s="194" t="s">
        <v>135</v>
      </c>
      <c r="C276" s="194" t="s">
        <v>3</v>
      </c>
      <c r="D276" s="195" t="s">
        <v>59</v>
      </c>
      <c r="E276" s="195" t="s">
        <v>59</v>
      </c>
      <c r="F276" s="196" t="s">
        <v>59</v>
      </c>
      <c r="G276" s="196" t="s">
        <v>59</v>
      </c>
      <c r="H276" s="196"/>
      <c r="I276" s="195"/>
      <c r="J276" s="180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AB276" s="174" t="str">
        <f>B276</f>
        <v>Karim Onisiwo (A)</v>
      </c>
    </row>
    <row r="277" spans="1:28" ht="10.5" customHeight="1" x14ac:dyDescent="0.2">
      <c r="A277" s="200">
        <v>11</v>
      </c>
      <c r="B277" s="194" t="s">
        <v>221</v>
      </c>
      <c r="C277" s="194" t="s">
        <v>3</v>
      </c>
      <c r="D277" s="195" t="s">
        <v>59</v>
      </c>
      <c r="E277" s="195" t="s">
        <v>59</v>
      </c>
      <c r="F277" s="196" t="s">
        <v>59</v>
      </c>
      <c r="G277" s="196" t="s">
        <v>59</v>
      </c>
      <c r="H277" s="196"/>
      <c r="I277" s="195"/>
      <c r="J277" s="180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AB277" s="174" t="str">
        <f t="shared" ref="AB277" si="105">B277</f>
        <v>Jessic Ngankam</v>
      </c>
    </row>
    <row r="278" spans="1:28" ht="10.5" customHeight="1" x14ac:dyDescent="0.2">
      <c r="A278" s="200">
        <v>17</v>
      </c>
      <c r="B278" s="194" t="s">
        <v>392</v>
      </c>
      <c r="C278" s="194" t="s">
        <v>3</v>
      </c>
      <c r="D278" s="195" t="s">
        <v>59</v>
      </c>
      <c r="E278" s="195" t="s">
        <v>59</v>
      </c>
      <c r="F278" s="196" t="s">
        <v>59</v>
      </c>
      <c r="G278" s="196" t="s">
        <v>59</v>
      </c>
      <c r="H278" s="196"/>
      <c r="I278" s="195"/>
      <c r="J278" s="180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AB278" s="174" t="str">
        <f t="shared" ref="AB278:AB283" si="106">B278</f>
        <v>Ludovic Ajorque (A)</v>
      </c>
    </row>
    <row r="279" spans="1:28" ht="10.5" customHeight="1" x14ac:dyDescent="0.2">
      <c r="A279" s="200">
        <v>29</v>
      </c>
      <c r="B279" s="194" t="s">
        <v>196</v>
      </c>
      <c r="C279" s="194" t="s">
        <v>3</v>
      </c>
      <c r="D279" s="195" t="s">
        <v>59</v>
      </c>
      <c r="E279" s="195" t="s">
        <v>59</v>
      </c>
      <c r="F279" s="196" t="s">
        <v>59</v>
      </c>
      <c r="G279" s="196" t="s">
        <v>59</v>
      </c>
      <c r="H279" s="196"/>
      <c r="I279" s="195"/>
      <c r="J279" s="180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AB279" s="174" t="str">
        <f t="shared" ref="AB279:AB280" si="107">B279</f>
        <v>Jonathan Burkardt</v>
      </c>
    </row>
    <row r="280" spans="1:28" ht="10.5" customHeight="1" x14ac:dyDescent="0.2">
      <c r="A280" s="200">
        <v>34</v>
      </c>
      <c r="B280" s="194" t="s">
        <v>614</v>
      </c>
      <c r="C280" s="194" t="s">
        <v>3</v>
      </c>
      <c r="D280" s="195" t="s">
        <v>59</v>
      </c>
      <c r="E280" s="195" t="s">
        <v>59</v>
      </c>
      <c r="F280" s="196" t="s">
        <v>59</v>
      </c>
      <c r="G280" s="196" t="s">
        <v>59</v>
      </c>
      <c r="H280" s="196"/>
      <c r="I280" s="195"/>
      <c r="J280" s="180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AB280" s="174" t="str">
        <f t="shared" si="107"/>
        <v>Anwar El Ghazi (A)</v>
      </c>
    </row>
    <row r="281" spans="1:28" ht="10.5" customHeight="1" x14ac:dyDescent="0.2">
      <c r="A281" s="200">
        <v>43</v>
      </c>
      <c r="B281" s="194" t="s">
        <v>394</v>
      </c>
      <c r="C281" s="194" t="s">
        <v>3</v>
      </c>
      <c r="D281" s="195" t="s">
        <v>59</v>
      </c>
      <c r="E281" s="195" t="s">
        <v>59</v>
      </c>
      <c r="F281" s="196" t="s">
        <v>59</v>
      </c>
      <c r="G281" s="196" t="s">
        <v>59</v>
      </c>
      <c r="H281" s="196"/>
      <c r="I281" s="195"/>
      <c r="J281" s="180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AB281" s="174" t="str">
        <f t="shared" si="106"/>
        <v>Brajan Gruda</v>
      </c>
    </row>
    <row r="282" spans="1:28" ht="10.5" customHeight="1" x14ac:dyDescent="0.2">
      <c r="A282" s="200">
        <v>44</v>
      </c>
      <c r="B282" s="194" t="s">
        <v>382</v>
      </c>
      <c r="C282" s="194" t="s">
        <v>3</v>
      </c>
      <c r="D282" s="195" t="s">
        <v>59</v>
      </c>
      <c r="E282" s="195" t="s">
        <v>59</v>
      </c>
      <c r="F282" s="196" t="s">
        <v>59</v>
      </c>
      <c r="G282" s="196" t="s">
        <v>59</v>
      </c>
      <c r="H282" s="196"/>
      <c r="I282" s="195"/>
      <c r="J282" s="180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AB282" s="174" t="str">
        <f t="shared" ref="AB282" si="108">B282</f>
        <v>Nelson Weiper</v>
      </c>
    </row>
    <row r="283" spans="1:28" ht="10.5" customHeight="1" x14ac:dyDescent="0.2">
      <c r="A283" s="200">
        <v>48</v>
      </c>
      <c r="B283" s="194" t="s">
        <v>634</v>
      </c>
      <c r="C283" s="194" t="s">
        <v>3</v>
      </c>
      <c r="D283" s="195" t="s">
        <v>59</v>
      </c>
      <c r="E283" s="195" t="s">
        <v>59</v>
      </c>
      <c r="F283" s="196" t="s">
        <v>59</v>
      </c>
      <c r="G283" s="196" t="s">
        <v>59</v>
      </c>
      <c r="H283" s="196"/>
      <c r="I283" s="195"/>
      <c r="J283" s="180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AB283" s="174" t="str">
        <f t="shared" si="106"/>
        <v>Marcel Müller</v>
      </c>
    </row>
    <row r="284" spans="1:28" ht="15" customHeight="1" thickBot="1" x14ac:dyDescent="0.25">
      <c r="A284" s="218" t="s">
        <v>69</v>
      </c>
      <c r="B284" s="218"/>
      <c r="C284" s="218"/>
      <c r="D284" s="218"/>
      <c r="E284" s="218"/>
      <c r="F284" s="218"/>
      <c r="G284" s="218"/>
      <c r="H284" s="218"/>
      <c r="I284" s="218"/>
      <c r="J284" s="10"/>
      <c r="K284" s="175">
        <v>12</v>
      </c>
      <c r="L284" s="175">
        <v>12</v>
      </c>
      <c r="M284" s="175">
        <v>12</v>
      </c>
      <c r="N284" s="175">
        <v>12</v>
      </c>
      <c r="O284" s="175">
        <v>12</v>
      </c>
      <c r="P284" s="175">
        <v>12</v>
      </c>
      <c r="Q284" s="175">
        <v>12</v>
      </c>
      <c r="R284" s="175">
        <v>12</v>
      </c>
      <c r="S284" s="175">
        <v>12</v>
      </c>
      <c r="T284" s="175">
        <v>12</v>
      </c>
      <c r="U284" s="175"/>
      <c r="V284" s="175">
        <v>12</v>
      </c>
      <c r="W284" s="175">
        <v>12</v>
      </c>
      <c r="X284" s="175">
        <v>12</v>
      </c>
      <c r="Y284" s="175">
        <v>12</v>
      </c>
      <c r="Z284" s="216"/>
      <c r="AB284" s="174" t="str">
        <f>A284</f>
        <v>Bor. M'gladbach</v>
      </c>
    </row>
    <row r="285" spans="1:28" ht="10.5" customHeight="1" x14ac:dyDescent="0.2">
      <c r="A285" s="176">
        <v>1</v>
      </c>
      <c r="B285" s="177" t="s">
        <v>388</v>
      </c>
      <c r="C285" s="177" t="s">
        <v>0</v>
      </c>
      <c r="D285" s="178" t="s">
        <v>59</v>
      </c>
      <c r="E285" s="178" t="s">
        <v>59</v>
      </c>
      <c r="F285" s="179" t="s">
        <v>59</v>
      </c>
      <c r="G285" s="179" t="s">
        <v>59</v>
      </c>
      <c r="H285" s="179"/>
      <c r="I285" s="178"/>
      <c r="J285" s="180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AB285" s="174" t="str">
        <f t="shared" ref="AB285:AB302" si="109">B285</f>
        <v>Jonas Omlin (A)</v>
      </c>
    </row>
    <row r="286" spans="1:28" ht="10.5" customHeight="1" x14ac:dyDescent="0.2">
      <c r="A286" s="176">
        <v>21</v>
      </c>
      <c r="B286" s="177" t="s">
        <v>124</v>
      </c>
      <c r="C286" s="177" t="s">
        <v>0</v>
      </c>
      <c r="D286" s="178" t="s">
        <v>59</v>
      </c>
      <c r="E286" s="178" t="s">
        <v>59</v>
      </c>
      <c r="F286" s="179" t="s">
        <v>59</v>
      </c>
      <c r="G286" s="179" t="s">
        <v>59</v>
      </c>
      <c r="H286" s="179"/>
      <c r="I286" s="178"/>
      <c r="J286" s="180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AB286" s="174" t="str">
        <f t="shared" ref="AB286:AB289" si="110">B286</f>
        <v>Tobias Sippel</v>
      </c>
    </row>
    <row r="287" spans="1:28" ht="10.5" customHeight="1" x14ac:dyDescent="0.2">
      <c r="A287" s="176">
        <v>33</v>
      </c>
      <c r="B287" s="177" t="s">
        <v>442</v>
      </c>
      <c r="C287" s="177" t="s">
        <v>0</v>
      </c>
      <c r="D287" s="178" t="s">
        <v>59</v>
      </c>
      <c r="E287" s="178" t="s">
        <v>59</v>
      </c>
      <c r="F287" s="179" t="s">
        <v>59</v>
      </c>
      <c r="G287" s="179" t="s">
        <v>59</v>
      </c>
      <c r="H287" s="179"/>
      <c r="I287" s="178"/>
      <c r="J287" s="180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AB287" s="174" t="str">
        <f t="shared" si="110"/>
        <v>Moritz Nicolas</v>
      </c>
    </row>
    <row r="288" spans="1:28" ht="10.5" customHeight="1" x14ac:dyDescent="0.2">
      <c r="A288" s="176">
        <v>41</v>
      </c>
      <c r="B288" s="177" t="s">
        <v>229</v>
      </c>
      <c r="C288" s="177" t="s">
        <v>0</v>
      </c>
      <c r="D288" s="178" t="s">
        <v>59</v>
      </c>
      <c r="E288" s="178" t="s">
        <v>59</v>
      </c>
      <c r="F288" s="179" t="s">
        <v>59</v>
      </c>
      <c r="G288" s="179" t="s">
        <v>59</v>
      </c>
      <c r="H288" s="179"/>
      <c r="I288" s="178"/>
      <c r="J288" s="180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AB288" s="174" t="str">
        <f t="shared" ref="AB288" si="111">B288</f>
        <v>Jan Olschowsky</v>
      </c>
    </row>
    <row r="289" spans="1:28" ht="10.5" customHeight="1" x14ac:dyDescent="0.2">
      <c r="A289" s="176">
        <v>43</v>
      </c>
      <c r="B289" s="177" t="s">
        <v>443</v>
      </c>
      <c r="C289" s="177" t="s">
        <v>0</v>
      </c>
      <c r="D289" s="178" t="s">
        <v>59</v>
      </c>
      <c r="E289" s="178" t="s">
        <v>59</v>
      </c>
      <c r="F289" s="179" t="s">
        <v>59</v>
      </c>
      <c r="G289" s="179" t="s">
        <v>59</v>
      </c>
      <c r="H289" s="179"/>
      <c r="I289" s="178"/>
      <c r="J289" s="180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AB289" s="174" t="str">
        <f t="shared" si="110"/>
        <v>Max Brüll</v>
      </c>
    </row>
    <row r="290" spans="1:28" ht="10.5" customHeight="1" x14ac:dyDescent="0.2">
      <c r="A290" s="197">
        <v>2</v>
      </c>
      <c r="B290" s="198" t="s">
        <v>367</v>
      </c>
      <c r="C290" s="184" t="s">
        <v>1</v>
      </c>
      <c r="D290" s="185" t="s">
        <v>59</v>
      </c>
      <c r="E290" s="185" t="s">
        <v>59</v>
      </c>
      <c r="F290" s="186" t="s">
        <v>59</v>
      </c>
      <c r="G290" s="186" t="s">
        <v>59</v>
      </c>
      <c r="H290" s="186"/>
      <c r="I290" s="185"/>
      <c r="J290" s="180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AB290" s="174" t="str">
        <f t="shared" ref="AB290:AB295" si="112">B290</f>
        <v>Fabio Chiarodia</v>
      </c>
    </row>
    <row r="291" spans="1:28" ht="10.5" customHeight="1" x14ac:dyDescent="0.2">
      <c r="A291" s="197">
        <v>3</v>
      </c>
      <c r="B291" s="198" t="s">
        <v>345</v>
      </c>
      <c r="C291" s="184" t="s">
        <v>1</v>
      </c>
      <c r="D291" s="185" t="s">
        <v>59</v>
      </c>
      <c r="E291" s="185" t="s">
        <v>59</v>
      </c>
      <c r="F291" s="186" t="s">
        <v>59</v>
      </c>
      <c r="G291" s="186" t="s">
        <v>59</v>
      </c>
      <c r="H291" s="186"/>
      <c r="I291" s="185"/>
      <c r="J291" s="180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AB291" s="174" t="str">
        <f t="shared" si="112"/>
        <v>Ko Itakura (A)</v>
      </c>
    </row>
    <row r="292" spans="1:28" ht="10.5" customHeight="1" x14ac:dyDescent="0.2">
      <c r="A292" s="197">
        <v>5</v>
      </c>
      <c r="B292" s="198" t="s">
        <v>207</v>
      </c>
      <c r="C292" s="184" t="s">
        <v>1</v>
      </c>
      <c r="D292" s="185" t="s">
        <v>59</v>
      </c>
      <c r="E292" s="185" t="s">
        <v>59</v>
      </c>
      <c r="F292" s="186" t="s">
        <v>59</v>
      </c>
      <c r="G292" s="186" t="s">
        <v>59</v>
      </c>
      <c r="H292" s="186"/>
      <c r="I292" s="185"/>
      <c r="J292" s="180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AB292" s="174" t="str">
        <f t="shared" si="112"/>
        <v>Marvin Friedrich</v>
      </c>
    </row>
    <row r="293" spans="1:28" ht="10.5" customHeight="1" x14ac:dyDescent="0.2">
      <c r="A293" s="197">
        <v>18</v>
      </c>
      <c r="B293" s="198" t="s">
        <v>186</v>
      </c>
      <c r="C293" s="184" t="s">
        <v>1</v>
      </c>
      <c r="D293" s="185" t="s">
        <v>59</v>
      </c>
      <c r="E293" s="185" t="s">
        <v>59</v>
      </c>
      <c r="F293" s="186" t="s">
        <v>59</v>
      </c>
      <c r="G293" s="186" t="s">
        <v>59</v>
      </c>
      <c r="H293" s="186"/>
      <c r="I293" s="185"/>
      <c r="J293" s="180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AB293" s="174" t="str">
        <f t="shared" si="112"/>
        <v>Stefan Lainer (A)</v>
      </c>
    </row>
    <row r="294" spans="1:28" ht="10.5" customHeight="1" x14ac:dyDescent="0.2">
      <c r="A294" s="197">
        <v>20</v>
      </c>
      <c r="B294" s="198" t="s">
        <v>223</v>
      </c>
      <c r="C294" s="184" t="s">
        <v>1</v>
      </c>
      <c r="D294" s="185" t="s">
        <v>59</v>
      </c>
      <c r="E294" s="185" t="s">
        <v>59</v>
      </c>
      <c r="F294" s="186" t="s">
        <v>59</v>
      </c>
      <c r="G294" s="186" t="s">
        <v>59</v>
      </c>
      <c r="H294" s="186"/>
      <c r="I294" s="185"/>
      <c r="J294" s="180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AB294" s="174" t="str">
        <f t="shared" si="112"/>
        <v>Luca Netz</v>
      </c>
    </row>
    <row r="295" spans="1:28" ht="10.5" customHeight="1" x14ac:dyDescent="0.2">
      <c r="A295" s="197">
        <v>24</v>
      </c>
      <c r="B295" s="198" t="s">
        <v>82</v>
      </c>
      <c r="C295" s="184" t="s">
        <v>1</v>
      </c>
      <c r="D295" s="185" t="s">
        <v>59</v>
      </c>
      <c r="E295" s="185" t="s">
        <v>59</v>
      </c>
      <c r="F295" s="186" t="s">
        <v>59</v>
      </c>
      <c r="G295" s="186" t="s">
        <v>59</v>
      </c>
      <c r="H295" s="186"/>
      <c r="I295" s="185"/>
      <c r="J295" s="180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AB295" s="174" t="str">
        <f t="shared" si="112"/>
        <v>Tony Jantschke</v>
      </c>
    </row>
    <row r="296" spans="1:28" ht="10.5" customHeight="1" x14ac:dyDescent="0.2">
      <c r="A296" s="197">
        <v>26</v>
      </c>
      <c r="B296" s="198" t="s">
        <v>444</v>
      </c>
      <c r="C296" s="184" t="s">
        <v>1</v>
      </c>
      <c r="D296" s="185" t="s">
        <v>59</v>
      </c>
      <c r="E296" s="185" t="s">
        <v>59</v>
      </c>
      <c r="F296" s="186" t="s">
        <v>59</v>
      </c>
      <c r="G296" s="186" t="s">
        <v>59</v>
      </c>
      <c r="H296" s="186"/>
      <c r="I296" s="185"/>
      <c r="J296" s="180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AB296" s="174" t="str">
        <f t="shared" ref="AB296:AB300" si="113">B296</f>
        <v>Lukas Ullrich</v>
      </c>
    </row>
    <row r="297" spans="1:28" ht="10.5" customHeight="1" x14ac:dyDescent="0.2">
      <c r="A297" s="197">
        <v>29</v>
      </c>
      <c r="B297" s="198" t="s">
        <v>255</v>
      </c>
      <c r="C297" s="184" t="s">
        <v>1</v>
      </c>
      <c r="D297" s="185" t="s">
        <v>59</v>
      </c>
      <c r="E297" s="185" t="s">
        <v>59</v>
      </c>
      <c r="F297" s="186" t="s">
        <v>59</v>
      </c>
      <c r="G297" s="186" t="s">
        <v>59</v>
      </c>
      <c r="H297" s="186"/>
      <c r="I297" s="185"/>
      <c r="J297" s="180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AB297" s="174" t="str">
        <f t="shared" si="113"/>
        <v>Joe Scally (A)</v>
      </c>
    </row>
    <row r="298" spans="1:28" ht="10.5" customHeight="1" x14ac:dyDescent="0.2">
      <c r="A298" s="197">
        <v>30</v>
      </c>
      <c r="B298" s="198" t="s">
        <v>125</v>
      </c>
      <c r="C298" s="184" t="s">
        <v>1</v>
      </c>
      <c r="D298" s="185" t="s">
        <v>59</v>
      </c>
      <c r="E298" s="185" t="s">
        <v>59</v>
      </c>
      <c r="F298" s="186" t="s">
        <v>59</v>
      </c>
      <c r="G298" s="186" t="s">
        <v>59</v>
      </c>
      <c r="H298" s="186"/>
      <c r="I298" s="185"/>
      <c r="J298" s="180"/>
      <c r="K298" s="181"/>
      <c r="L298" s="181"/>
      <c r="M298" s="181"/>
      <c r="N298" s="181"/>
      <c r="O298" s="181"/>
      <c r="P298" s="181"/>
      <c r="Q298" s="181"/>
      <c r="R298" s="181"/>
      <c r="S298" s="181">
        <v>4</v>
      </c>
      <c r="T298" s="181"/>
      <c r="U298" s="181"/>
      <c r="V298" s="181"/>
      <c r="W298" s="181"/>
      <c r="X298" s="181"/>
      <c r="Y298" s="181"/>
      <c r="AB298" s="174" t="str">
        <f t="shared" si="113"/>
        <v>Nico Elvedi (A)</v>
      </c>
    </row>
    <row r="299" spans="1:28" ht="10.5" customHeight="1" x14ac:dyDescent="0.2">
      <c r="A299" s="197">
        <v>39</v>
      </c>
      <c r="B299" s="198" t="s">
        <v>445</v>
      </c>
      <c r="C299" s="184" t="s">
        <v>1</v>
      </c>
      <c r="D299" s="185" t="s">
        <v>59</v>
      </c>
      <c r="E299" s="185" t="s">
        <v>59</v>
      </c>
      <c r="F299" s="186" t="s">
        <v>59</v>
      </c>
      <c r="G299" s="186" t="s">
        <v>59</v>
      </c>
      <c r="H299" s="186"/>
      <c r="I299" s="185"/>
      <c r="J299" s="180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AB299" s="174" t="str">
        <f t="shared" si="113"/>
        <v>Maximilian Wöber (A)</v>
      </c>
    </row>
    <row r="300" spans="1:28" ht="10.5" customHeight="1" x14ac:dyDescent="0.2">
      <c r="A300" s="197">
        <v>45</v>
      </c>
      <c r="B300" s="198" t="s">
        <v>446</v>
      </c>
      <c r="C300" s="184" t="s">
        <v>1</v>
      </c>
      <c r="D300" s="185" t="s">
        <v>59</v>
      </c>
      <c r="E300" s="185" t="s">
        <v>59</v>
      </c>
      <c r="F300" s="186" t="s">
        <v>59</v>
      </c>
      <c r="G300" s="186" t="s">
        <v>59</v>
      </c>
      <c r="H300" s="186"/>
      <c r="I300" s="185"/>
      <c r="J300" s="180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AB300" s="174" t="str">
        <f t="shared" si="113"/>
        <v>Simon Walde</v>
      </c>
    </row>
    <row r="301" spans="1:28" ht="10.5" customHeight="1" x14ac:dyDescent="0.2">
      <c r="A301" s="199">
        <v>8</v>
      </c>
      <c r="B301" s="189" t="s">
        <v>377</v>
      </c>
      <c r="C301" s="189" t="s">
        <v>2</v>
      </c>
      <c r="D301" s="190" t="s">
        <v>59</v>
      </c>
      <c r="E301" s="190" t="s">
        <v>59</v>
      </c>
      <c r="F301" s="191" t="s">
        <v>59</v>
      </c>
      <c r="G301" s="191" t="s">
        <v>59</v>
      </c>
      <c r="H301" s="191"/>
      <c r="I301" s="190"/>
      <c r="J301" s="180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AB301" s="174" t="str">
        <f t="shared" si="109"/>
        <v>Julian Weigl</v>
      </c>
    </row>
    <row r="302" spans="1:28" ht="10.5" customHeight="1" x14ac:dyDescent="0.2">
      <c r="A302" s="199">
        <v>9</v>
      </c>
      <c r="B302" s="189" t="s">
        <v>447</v>
      </c>
      <c r="C302" s="189" t="s">
        <v>2</v>
      </c>
      <c r="D302" s="190" t="s">
        <v>59</v>
      </c>
      <c r="E302" s="190" t="s">
        <v>59</v>
      </c>
      <c r="F302" s="191" t="s">
        <v>59</v>
      </c>
      <c r="G302" s="191" t="s">
        <v>59</v>
      </c>
      <c r="H302" s="191"/>
      <c r="I302" s="190"/>
      <c r="J302" s="180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AB302" s="174" t="str">
        <f t="shared" si="109"/>
        <v>Franck Honorat (A)</v>
      </c>
    </row>
    <row r="303" spans="1:28" ht="10.5" customHeight="1" x14ac:dyDescent="0.2">
      <c r="A303" s="199">
        <v>10</v>
      </c>
      <c r="B303" s="189" t="s">
        <v>164</v>
      </c>
      <c r="C303" s="189" t="s">
        <v>2</v>
      </c>
      <c r="D303" s="190" t="s">
        <v>59</v>
      </c>
      <c r="E303" s="190" t="s">
        <v>59</v>
      </c>
      <c r="F303" s="191" t="s">
        <v>59</v>
      </c>
      <c r="G303" s="191" t="s">
        <v>59</v>
      </c>
      <c r="H303" s="191"/>
      <c r="I303" s="190"/>
      <c r="J303" s="180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AB303" s="174" t="str">
        <f>B303</f>
        <v>Florian Neuhaus</v>
      </c>
    </row>
    <row r="304" spans="1:28" ht="10.5" customHeight="1" x14ac:dyDescent="0.2">
      <c r="A304" s="199">
        <v>17</v>
      </c>
      <c r="B304" s="189" t="s">
        <v>586</v>
      </c>
      <c r="C304" s="189" t="s">
        <v>2</v>
      </c>
      <c r="D304" s="190" t="s">
        <v>59</v>
      </c>
      <c r="E304" s="190" t="s">
        <v>59</v>
      </c>
      <c r="F304" s="191" t="s">
        <v>59</v>
      </c>
      <c r="G304" s="191" t="s">
        <v>59</v>
      </c>
      <c r="H304" s="191"/>
      <c r="I304" s="190"/>
      <c r="J304" s="180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AB304" s="174" t="str">
        <f t="shared" ref="AB304:AB306" si="114">B304</f>
        <v>Manu Koné (A)</v>
      </c>
    </row>
    <row r="305" spans="1:28" ht="10.5" customHeight="1" x14ac:dyDescent="0.2">
      <c r="A305" s="199">
        <v>19</v>
      </c>
      <c r="B305" s="189" t="s">
        <v>376</v>
      </c>
      <c r="C305" s="189" t="s">
        <v>2</v>
      </c>
      <c r="D305" s="190" t="s">
        <v>59</v>
      </c>
      <c r="E305" s="190" t="s">
        <v>59</v>
      </c>
      <c r="F305" s="191" t="s">
        <v>59</v>
      </c>
      <c r="G305" s="191" t="s">
        <v>59</v>
      </c>
      <c r="H305" s="191"/>
      <c r="I305" s="190"/>
      <c r="J305" s="180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AB305" s="174" t="str">
        <f t="shared" si="114"/>
        <v>Nathan Ngoumou (A)</v>
      </c>
    </row>
    <row r="306" spans="1:28" ht="10.5" customHeight="1" x14ac:dyDescent="0.2">
      <c r="A306" s="199">
        <v>23</v>
      </c>
      <c r="B306" s="189" t="s">
        <v>113</v>
      </c>
      <c r="C306" s="189" t="s">
        <v>2</v>
      </c>
      <c r="D306" s="190" t="s">
        <v>59</v>
      </c>
      <c r="E306" s="190" t="s">
        <v>59</v>
      </c>
      <c r="F306" s="191" t="s">
        <v>59</v>
      </c>
      <c r="G306" s="191" t="s">
        <v>59</v>
      </c>
      <c r="H306" s="191"/>
      <c r="I306" s="190"/>
      <c r="J306" s="180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AB306" s="174" t="str">
        <f t="shared" si="114"/>
        <v>Christoph Kramer</v>
      </c>
    </row>
    <row r="307" spans="1:28" ht="10.5" customHeight="1" x14ac:dyDescent="0.2">
      <c r="A307" s="199">
        <v>25</v>
      </c>
      <c r="B307" s="189" t="s">
        <v>448</v>
      </c>
      <c r="C307" s="189" t="s">
        <v>2</v>
      </c>
      <c r="D307" s="190" t="s">
        <v>59</v>
      </c>
      <c r="E307" s="190" t="s">
        <v>59</v>
      </c>
      <c r="F307" s="191" t="s">
        <v>59</v>
      </c>
      <c r="G307" s="191" t="s">
        <v>59</v>
      </c>
      <c r="H307" s="191"/>
      <c r="I307" s="190"/>
      <c r="J307" s="180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AB307" s="174" t="str">
        <f t="shared" ref="AB307:AB308" si="115">B307</f>
        <v>Robin Hack</v>
      </c>
    </row>
    <row r="308" spans="1:28" ht="10.5" customHeight="1" x14ac:dyDescent="0.2">
      <c r="A308" s="199">
        <v>27</v>
      </c>
      <c r="B308" s="189" t="s">
        <v>449</v>
      </c>
      <c r="C308" s="189" t="s">
        <v>2</v>
      </c>
      <c r="D308" s="190" t="s">
        <v>59</v>
      </c>
      <c r="E308" s="190" t="s">
        <v>59</v>
      </c>
      <c r="F308" s="191" t="s">
        <v>59</v>
      </c>
      <c r="G308" s="191" t="s">
        <v>59</v>
      </c>
      <c r="H308" s="191"/>
      <c r="I308" s="190"/>
      <c r="J308" s="180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AB308" s="174" t="str">
        <f t="shared" si="115"/>
        <v>Rocco Reitz</v>
      </c>
    </row>
    <row r="309" spans="1:28" ht="10.5" customHeight="1" x14ac:dyDescent="0.2">
      <c r="A309" s="200">
        <v>7</v>
      </c>
      <c r="B309" s="194" t="s">
        <v>91</v>
      </c>
      <c r="C309" s="194" t="s">
        <v>3</v>
      </c>
      <c r="D309" s="195" t="s">
        <v>59</v>
      </c>
      <c r="E309" s="195" t="s">
        <v>59</v>
      </c>
      <c r="F309" s="196" t="s">
        <v>59</v>
      </c>
      <c r="G309" s="196" t="s">
        <v>59</v>
      </c>
      <c r="H309" s="196"/>
      <c r="I309" s="195"/>
      <c r="J309" s="180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AB309" s="174" t="str">
        <f>B309</f>
        <v>Patrick Herrmann</v>
      </c>
    </row>
    <row r="310" spans="1:28" ht="10.5" customHeight="1" x14ac:dyDescent="0.2">
      <c r="A310" s="200">
        <v>13</v>
      </c>
      <c r="B310" s="194" t="s">
        <v>335</v>
      </c>
      <c r="C310" s="194" t="s">
        <v>3</v>
      </c>
      <c r="D310" s="195" t="s">
        <v>59</v>
      </c>
      <c r="E310" s="195" t="s">
        <v>59</v>
      </c>
      <c r="F310" s="196" t="s">
        <v>59</v>
      </c>
      <c r="G310" s="196" t="s">
        <v>59</v>
      </c>
      <c r="H310" s="196"/>
      <c r="I310" s="195"/>
      <c r="J310" s="180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AB310" s="174" t="str">
        <f t="shared" ref="AB310" si="116">B310</f>
        <v>Jordan Siebatcheu (A)</v>
      </c>
    </row>
    <row r="311" spans="1:28" ht="10.5" customHeight="1" x14ac:dyDescent="0.2">
      <c r="A311" s="200">
        <v>14</v>
      </c>
      <c r="B311" s="194" t="s">
        <v>165</v>
      </c>
      <c r="C311" s="194" t="s">
        <v>3</v>
      </c>
      <c r="D311" s="195" t="s">
        <v>59</v>
      </c>
      <c r="E311" s="195" t="s">
        <v>59</v>
      </c>
      <c r="F311" s="196" t="s">
        <v>59</v>
      </c>
      <c r="G311" s="196" t="s">
        <v>59</v>
      </c>
      <c r="H311" s="196"/>
      <c r="I311" s="195"/>
      <c r="J311" s="180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AB311" s="174" t="str">
        <f t="shared" ref="AB311:AB314" si="117">B311</f>
        <v>Alassane Plea (A)</v>
      </c>
    </row>
    <row r="312" spans="1:28" ht="10.5" customHeight="1" x14ac:dyDescent="0.2">
      <c r="A312" s="200">
        <v>28</v>
      </c>
      <c r="B312" s="194" t="s">
        <v>450</v>
      </c>
      <c r="C312" s="194" t="s">
        <v>3</v>
      </c>
      <c r="D312" s="195" t="s">
        <v>59</v>
      </c>
      <c r="E312" s="195" t="s">
        <v>59</v>
      </c>
      <c r="F312" s="196" t="s">
        <v>59</v>
      </c>
      <c r="G312" s="196" t="s">
        <v>59</v>
      </c>
      <c r="H312" s="196"/>
      <c r="I312" s="195"/>
      <c r="J312" s="180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AB312" s="174" t="str">
        <f t="shared" ref="AB312:AB313" si="118">B312</f>
        <v>Grant-Leon Ranos</v>
      </c>
    </row>
    <row r="313" spans="1:28" ht="10.5" customHeight="1" x14ac:dyDescent="0.2">
      <c r="A313" s="200">
        <v>31</v>
      </c>
      <c r="B313" s="194" t="s">
        <v>585</v>
      </c>
      <c r="C313" s="194" t="s">
        <v>3</v>
      </c>
      <c r="D313" s="195" t="s">
        <v>59</v>
      </c>
      <c r="E313" s="195" t="s">
        <v>59</v>
      </c>
      <c r="F313" s="196" t="s">
        <v>59</v>
      </c>
      <c r="G313" s="196" t="s">
        <v>59</v>
      </c>
      <c r="H313" s="196"/>
      <c r="I313" s="195"/>
      <c r="J313" s="180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AB313" s="174" t="str">
        <f t="shared" si="118"/>
        <v>Tomáš Čvančara (A)</v>
      </c>
    </row>
    <row r="314" spans="1:28" ht="10.5" customHeight="1" x14ac:dyDescent="0.2">
      <c r="A314" s="200">
        <v>49</v>
      </c>
      <c r="B314" s="194" t="s">
        <v>652</v>
      </c>
      <c r="C314" s="194" t="s">
        <v>3</v>
      </c>
      <c r="D314" s="195" t="s">
        <v>59</v>
      </c>
      <c r="E314" s="195" t="s">
        <v>59</v>
      </c>
      <c r="F314" s="196" t="s">
        <v>59</v>
      </c>
      <c r="G314" s="196" t="s">
        <v>59</v>
      </c>
      <c r="H314" s="196"/>
      <c r="I314" s="195"/>
      <c r="J314" s="180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AB314" s="174" t="str">
        <f t="shared" si="117"/>
        <v>Shio Fukuda (A)</v>
      </c>
    </row>
    <row r="315" spans="1:28" ht="15" customHeight="1" thickBot="1" x14ac:dyDescent="0.25">
      <c r="A315" s="219" t="s">
        <v>181</v>
      </c>
      <c r="B315" s="219"/>
      <c r="C315" s="219"/>
      <c r="D315" s="219"/>
      <c r="E315" s="219"/>
      <c r="F315" s="219"/>
      <c r="G315" s="219"/>
      <c r="H315" s="219"/>
      <c r="I315" s="219"/>
      <c r="J315" s="10"/>
      <c r="K315" s="175">
        <v>12</v>
      </c>
      <c r="L315" s="175">
        <v>12</v>
      </c>
      <c r="M315" s="175">
        <v>12</v>
      </c>
      <c r="N315" s="175">
        <v>12</v>
      </c>
      <c r="O315" s="175">
        <v>12</v>
      </c>
      <c r="P315" s="175">
        <v>12</v>
      </c>
      <c r="Q315" s="175">
        <v>12</v>
      </c>
      <c r="R315" s="175">
        <v>12</v>
      </c>
      <c r="S315" s="175">
        <v>12</v>
      </c>
      <c r="T315" s="175">
        <v>12</v>
      </c>
      <c r="U315" s="175">
        <v>12</v>
      </c>
      <c r="V315" s="175">
        <v>12</v>
      </c>
      <c r="W315" s="175">
        <v>12</v>
      </c>
      <c r="X315" s="175">
        <v>12</v>
      </c>
      <c r="Y315" s="175">
        <v>12</v>
      </c>
      <c r="Z315" s="216"/>
      <c r="AB315" s="174" t="str">
        <f>A315</f>
        <v>1.FC Köln</v>
      </c>
    </row>
    <row r="316" spans="1:28" ht="10.5" customHeight="1" x14ac:dyDescent="0.2">
      <c r="A316" s="176">
        <v>1</v>
      </c>
      <c r="B316" s="177" t="s">
        <v>291</v>
      </c>
      <c r="C316" s="177" t="s">
        <v>0</v>
      </c>
      <c r="D316" s="178" t="s">
        <v>59</v>
      </c>
      <c r="E316" s="178" t="s">
        <v>59</v>
      </c>
      <c r="F316" s="179" t="s">
        <v>59</v>
      </c>
      <c r="G316" s="179" t="s">
        <v>59</v>
      </c>
      <c r="H316" s="179"/>
      <c r="I316" s="178"/>
      <c r="J316" s="180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AB316" s="174" t="str">
        <f t="shared" ref="AB316:AB329" si="119">B316</f>
        <v>Marvin Schwäbe</v>
      </c>
    </row>
    <row r="317" spans="1:28" ht="10.5" customHeight="1" x14ac:dyDescent="0.2">
      <c r="A317" s="176">
        <v>12</v>
      </c>
      <c r="B317" s="177" t="s">
        <v>451</v>
      </c>
      <c r="C317" s="177" t="s">
        <v>0</v>
      </c>
      <c r="D317" s="178" t="s">
        <v>59</v>
      </c>
      <c r="E317" s="178" t="s">
        <v>59</v>
      </c>
      <c r="F317" s="179" t="s">
        <v>59</v>
      </c>
      <c r="G317" s="179" t="s">
        <v>59</v>
      </c>
      <c r="H317" s="179"/>
      <c r="I317" s="178"/>
      <c r="J317" s="180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AB317" s="174" t="str">
        <f t="shared" si="119"/>
        <v>Jonas Nickisch</v>
      </c>
    </row>
    <row r="318" spans="1:28" ht="10.5" customHeight="1" x14ac:dyDescent="0.2">
      <c r="A318" s="176">
        <v>20</v>
      </c>
      <c r="B318" s="177" t="s">
        <v>191</v>
      </c>
      <c r="C318" s="177" t="s">
        <v>0</v>
      </c>
      <c r="D318" s="178" t="s">
        <v>59</v>
      </c>
      <c r="E318" s="178" t="s">
        <v>59</v>
      </c>
      <c r="F318" s="179" t="s">
        <v>59</v>
      </c>
      <c r="G318" s="179" t="s">
        <v>59</v>
      </c>
      <c r="H318" s="179"/>
      <c r="I318" s="178"/>
      <c r="J318" s="180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AB318" s="174" t="str">
        <f t="shared" ref="AB318:AB319" si="120">B318</f>
        <v>Philipp Pentke</v>
      </c>
    </row>
    <row r="319" spans="1:28" ht="10.5" customHeight="1" x14ac:dyDescent="0.2">
      <c r="A319" s="176">
        <v>44</v>
      </c>
      <c r="B319" s="177" t="s">
        <v>452</v>
      </c>
      <c r="C319" s="177" t="s">
        <v>0</v>
      </c>
      <c r="D319" s="178" t="s">
        <v>59</v>
      </c>
      <c r="E319" s="178" t="s">
        <v>59</v>
      </c>
      <c r="F319" s="179" t="s">
        <v>59</v>
      </c>
      <c r="G319" s="179" t="s">
        <v>59</v>
      </c>
      <c r="H319" s="179"/>
      <c r="I319" s="178"/>
      <c r="J319" s="180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AB319" s="174" t="str">
        <f t="shared" si="120"/>
        <v>Matthias Köbbing</v>
      </c>
    </row>
    <row r="320" spans="1:28" s="113" customFormat="1" ht="10.5" customHeight="1" x14ac:dyDescent="0.2">
      <c r="A320" s="197">
        <v>2</v>
      </c>
      <c r="B320" s="198" t="s">
        <v>202</v>
      </c>
      <c r="C320" s="184" t="s">
        <v>1</v>
      </c>
      <c r="D320" s="185" t="s">
        <v>59</v>
      </c>
      <c r="E320" s="185" t="s">
        <v>59</v>
      </c>
      <c r="F320" s="186" t="s">
        <v>59</v>
      </c>
      <c r="G320" s="186" t="s">
        <v>59</v>
      </c>
      <c r="H320" s="186"/>
      <c r="I320" s="185"/>
      <c r="J320" s="180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71"/>
      <c r="AB320" s="174" t="str">
        <f t="shared" si="119"/>
        <v>Benno Schmitz</v>
      </c>
    </row>
    <row r="321" spans="1:28" s="113" customFormat="1" ht="10.5" customHeight="1" x14ac:dyDescent="0.2">
      <c r="A321" s="197">
        <v>3</v>
      </c>
      <c r="B321" s="198" t="s">
        <v>168</v>
      </c>
      <c r="C321" s="184" t="s">
        <v>1</v>
      </c>
      <c r="D321" s="185" t="s">
        <v>59</v>
      </c>
      <c r="E321" s="185" t="s">
        <v>59</v>
      </c>
      <c r="F321" s="186" t="s">
        <v>59</v>
      </c>
      <c r="G321" s="186" t="s">
        <v>59</v>
      </c>
      <c r="H321" s="186"/>
      <c r="I321" s="185"/>
      <c r="J321" s="180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71"/>
      <c r="AB321" s="174" t="str">
        <f t="shared" si="119"/>
        <v>Dominique Heintz</v>
      </c>
    </row>
    <row r="322" spans="1:28" s="113" customFormat="1" ht="10.5" customHeight="1" x14ac:dyDescent="0.2">
      <c r="A322" s="197">
        <v>4</v>
      </c>
      <c r="B322" s="198" t="s">
        <v>292</v>
      </c>
      <c r="C322" s="184" t="s">
        <v>1</v>
      </c>
      <c r="D322" s="185" t="s">
        <v>59</v>
      </c>
      <c r="E322" s="185" t="s">
        <v>59</v>
      </c>
      <c r="F322" s="186" t="s">
        <v>59</v>
      </c>
      <c r="G322" s="186" t="s">
        <v>59</v>
      </c>
      <c r="H322" s="186"/>
      <c r="I322" s="185"/>
      <c r="J322" s="180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71"/>
      <c r="AB322" s="174" t="str">
        <f t="shared" si="119"/>
        <v>Timo Hübers</v>
      </c>
    </row>
    <row r="323" spans="1:28" s="113" customFormat="1" ht="10.5" customHeight="1" x14ac:dyDescent="0.2">
      <c r="A323" s="197">
        <v>15</v>
      </c>
      <c r="B323" s="198" t="s">
        <v>205</v>
      </c>
      <c r="C323" s="184" t="s">
        <v>1</v>
      </c>
      <c r="D323" s="185" t="s">
        <v>59</v>
      </c>
      <c r="E323" s="185" t="s">
        <v>59</v>
      </c>
      <c r="F323" s="186" t="s">
        <v>59</v>
      </c>
      <c r="G323" s="186" t="s">
        <v>59</v>
      </c>
      <c r="H323" s="186"/>
      <c r="I323" s="185"/>
      <c r="J323" s="180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71"/>
      <c r="AB323" s="174" t="str">
        <f t="shared" ref="AB323:AB328" si="121">B323</f>
        <v>Luca Kilian</v>
      </c>
    </row>
    <row r="324" spans="1:28" s="113" customFormat="1" ht="10.5" customHeight="1" x14ac:dyDescent="0.2">
      <c r="A324" s="197">
        <v>17</v>
      </c>
      <c r="B324" s="198" t="s">
        <v>453</v>
      </c>
      <c r="C324" s="184" t="s">
        <v>1</v>
      </c>
      <c r="D324" s="185" t="s">
        <v>59</v>
      </c>
      <c r="E324" s="185" t="s">
        <v>59</v>
      </c>
      <c r="F324" s="186" t="s">
        <v>59</v>
      </c>
      <c r="G324" s="186" t="s">
        <v>59</v>
      </c>
      <c r="H324" s="186"/>
      <c r="I324" s="185"/>
      <c r="J324" s="180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71"/>
      <c r="AB324" s="174" t="str">
        <f t="shared" si="121"/>
        <v>Leart Paqarada</v>
      </c>
    </row>
    <row r="325" spans="1:28" s="113" customFormat="1" ht="10.5" customHeight="1" x14ac:dyDescent="0.2">
      <c r="A325" s="197">
        <v>18</v>
      </c>
      <c r="B325" s="198" t="s">
        <v>454</v>
      </c>
      <c r="C325" s="184" t="s">
        <v>1</v>
      </c>
      <c r="D325" s="185" t="s">
        <v>59</v>
      </c>
      <c r="E325" s="185" t="s">
        <v>59</v>
      </c>
      <c r="F325" s="186" t="s">
        <v>59</v>
      </c>
      <c r="G325" s="186" t="s">
        <v>59</v>
      </c>
      <c r="H325" s="186"/>
      <c r="I325" s="185"/>
      <c r="J325" s="180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71"/>
      <c r="AB325" s="174" t="str">
        <f t="shared" si="121"/>
        <v>Rasmus Carstensen (A)</v>
      </c>
    </row>
    <row r="326" spans="1:28" s="113" customFormat="1" ht="10.5" customHeight="1" x14ac:dyDescent="0.2">
      <c r="A326" s="197">
        <v>24</v>
      </c>
      <c r="B326" s="198" t="s">
        <v>312</v>
      </c>
      <c r="C326" s="184" t="s">
        <v>1</v>
      </c>
      <c r="D326" s="185" t="s">
        <v>59</v>
      </c>
      <c r="E326" s="185" t="s">
        <v>59</v>
      </c>
      <c r="F326" s="186" t="s">
        <v>59</v>
      </c>
      <c r="G326" s="186" t="s">
        <v>59</v>
      </c>
      <c r="H326" s="186"/>
      <c r="I326" s="185"/>
      <c r="J326" s="180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71"/>
      <c r="AB326" s="174" t="str">
        <f t="shared" si="121"/>
        <v>Jeff Chabot</v>
      </c>
    </row>
    <row r="327" spans="1:28" s="113" customFormat="1" ht="10.5" customHeight="1" x14ac:dyDescent="0.2">
      <c r="A327" s="197">
        <v>35</v>
      </c>
      <c r="B327" s="198" t="s">
        <v>551</v>
      </c>
      <c r="C327" s="184" t="s">
        <v>1</v>
      </c>
      <c r="D327" s="185" t="s">
        <v>59</v>
      </c>
      <c r="E327" s="185" t="s">
        <v>59</v>
      </c>
      <c r="F327" s="186" t="s">
        <v>59</v>
      </c>
      <c r="G327" s="186" t="s">
        <v>59</v>
      </c>
      <c r="H327" s="186"/>
      <c r="I327" s="185"/>
      <c r="J327" s="180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71"/>
      <c r="AB327" s="174" t="str">
        <f t="shared" si="121"/>
        <v>Max Finkgräfe</v>
      </c>
    </row>
    <row r="328" spans="1:28" s="113" customFormat="1" ht="10.5" customHeight="1" x14ac:dyDescent="0.2">
      <c r="A328" s="197">
        <v>38</v>
      </c>
      <c r="B328" s="198" t="s">
        <v>455</v>
      </c>
      <c r="C328" s="184" t="s">
        <v>1</v>
      </c>
      <c r="D328" s="185" t="s">
        <v>59</v>
      </c>
      <c r="E328" s="185" t="s">
        <v>59</v>
      </c>
      <c r="F328" s="186" t="s">
        <v>59</v>
      </c>
      <c r="G328" s="186" t="s">
        <v>59</v>
      </c>
      <c r="H328" s="186"/>
      <c r="I328" s="185"/>
      <c r="J328" s="180"/>
      <c r="K328" s="181"/>
      <c r="L328" s="181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71"/>
      <c r="AB328" s="174" t="str">
        <f t="shared" si="121"/>
        <v>Elias Bakatukanda</v>
      </c>
    </row>
    <row r="329" spans="1:28" ht="10.5" customHeight="1" x14ac:dyDescent="0.2">
      <c r="A329" s="199">
        <v>6</v>
      </c>
      <c r="B329" s="189" t="s">
        <v>337</v>
      </c>
      <c r="C329" s="189" t="s">
        <v>2</v>
      </c>
      <c r="D329" s="190" t="s">
        <v>59</v>
      </c>
      <c r="E329" s="190" t="s">
        <v>59</v>
      </c>
      <c r="F329" s="191" t="s">
        <v>59</v>
      </c>
      <c r="G329" s="191" t="s">
        <v>59</v>
      </c>
      <c r="H329" s="191"/>
      <c r="I329" s="190"/>
      <c r="J329" s="180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AB329" s="174" t="str">
        <f t="shared" si="119"/>
        <v>Eric Martel</v>
      </c>
    </row>
    <row r="330" spans="1:28" ht="10.5" customHeight="1" x14ac:dyDescent="0.2">
      <c r="A330" s="199">
        <v>7</v>
      </c>
      <c r="B330" s="189" t="s">
        <v>294</v>
      </c>
      <c r="C330" s="189" t="s">
        <v>2</v>
      </c>
      <c r="D330" s="190" t="s">
        <v>59</v>
      </c>
      <c r="E330" s="190" t="s">
        <v>59</v>
      </c>
      <c r="F330" s="191" t="s">
        <v>59</v>
      </c>
      <c r="G330" s="191" t="s">
        <v>59</v>
      </c>
      <c r="H330" s="191"/>
      <c r="I330" s="190"/>
      <c r="J330" s="180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AB330" s="174" t="str">
        <f t="shared" ref="AB330:AB336" si="122">B330</f>
        <v>Dejan Ljubicic (A)</v>
      </c>
    </row>
    <row r="331" spans="1:28" ht="10.5" customHeight="1" x14ac:dyDescent="0.2">
      <c r="A331" s="199">
        <v>8</v>
      </c>
      <c r="B331" s="189" t="s">
        <v>587</v>
      </c>
      <c r="C331" s="189" t="s">
        <v>2</v>
      </c>
      <c r="D331" s="190" t="s">
        <v>59</v>
      </c>
      <c r="E331" s="190" t="s">
        <v>59</v>
      </c>
      <c r="F331" s="191" t="s">
        <v>59</v>
      </c>
      <c r="G331" s="191" t="s">
        <v>59</v>
      </c>
      <c r="H331" s="191"/>
      <c r="I331" s="190"/>
      <c r="J331" s="180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AB331" s="174" t="str">
        <f t="shared" si="122"/>
        <v>Denis Huseinbašić</v>
      </c>
    </row>
    <row r="332" spans="1:28" ht="10.5" customHeight="1" x14ac:dyDescent="0.2">
      <c r="A332" s="199">
        <v>11</v>
      </c>
      <c r="B332" s="189" t="s">
        <v>139</v>
      </c>
      <c r="C332" s="189" t="s">
        <v>2</v>
      </c>
      <c r="D332" s="190" t="s">
        <v>59</v>
      </c>
      <c r="E332" s="190" t="s">
        <v>59</v>
      </c>
      <c r="F332" s="191" t="s">
        <v>59</v>
      </c>
      <c r="G332" s="191" t="s">
        <v>59</v>
      </c>
      <c r="H332" s="191"/>
      <c r="I332" s="190"/>
      <c r="J332" s="180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AB332" s="174" t="str">
        <f t="shared" si="122"/>
        <v>Florian Kainz (A)</v>
      </c>
    </row>
    <row r="333" spans="1:28" ht="10.5" customHeight="1" x14ac:dyDescent="0.2">
      <c r="A333" s="199">
        <v>22</v>
      </c>
      <c r="B333" s="189" t="s">
        <v>456</v>
      </c>
      <c r="C333" s="189" t="s">
        <v>2</v>
      </c>
      <c r="D333" s="190" t="s">
        <v>59</v>
      </c>
      <c r="E333" s="190" t="s">
        <v>59</v>
      </c>
      <c r="F333" s="191" t="s">
        <v>59</v>
      </c>
      <c r="G333" s="191" t="s">
        <v>59</v>
      </c>
      <c r="H333" s="191"/>
      <c r="I333" s="190"/>
      <c r="J333" s="180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AB333" s="174" t="str">
        <f t="shared" si="122"/>
        <v>Jacob Christensen (A)</v>
      </c>
    </row>
    <row r="334" spans="1:28" ht="10.5" customHeight="1" x14ac:dyDescent="0.2">
      <c r="A334" s="199">
        <v>29</v>
      </c>
      <c r="B334" s="189" t="s">
        <v>215</v>
      </c>
      <c r="C334" s="189" t="s">
        <v>2</v>
      </c>
      <c r="D334" s="190" t="s">
        <v>59</v>
      </c>
      <c r="E334" s="190" t="s">
        <v>59</v>
      </c>
      <c r="F334" s="191" t="s">
        <v>59</v>
      </c>
      <c r="G334" s="191" t="s">
        <v>59</v>
      </c>
      <c r="H334" s="191"/>
      <c r="I334" s="190"/>
      <c r="J334" s="180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AB334" s="174" t="str">
        <f t="shared" si="122"/>
        <v>Jan Thielmann</v>
      </c>
    </row>
    <row r="335" spans="1:28" ht="10.5" customHeight="1" x14ac:dyDescent="0.2">
      <c r="A335" s="199">
        <v>36</v>
      </c>
      <c r="B335" s="189" t="s">
        <v>657</v>
      </c>
      <c r="C335" s="189" t="s">
        <v>2</v>
      </c>
      <c r="D335" s="190" t="s">
        <v>59</v>
      </c>
      <c r="E335" s="190" t="s">
        <v>59</v>
      </c>
      <c r="F335" s="191" t="s">
        <v>59</v>
      </c>
      <c r="G335" s="191" t="s">
        <v>59</v>
      </c>
      <c r="H335" s="191"/>
      <c r="I335" s="190"/>
      <c r="J335" s="180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AB335" s="174" t="str">
        <f t="shared" ref="AB335" si="123">B335</f>
        <v>Meiko Wäschenbach</v>
      </c>
    </row>
    <row r="336" spans="1:28" ht="10.5" customHeight="1" x14ac:dyDescent="0.2">
      <c r="A336" s="199">
        <v>37</v>
      </c>
      <c r="B336" s="189" t="s">
        <v>338</v>
      </c>
      <c r="C336" s="189" t="s">
        <v>2</v>
      </c>
      <c r="D336" s="190" t="s">
        <v>59</v>
      </c>
      <c r="E336" s="190" t="s">
        <v>59</v>
      </c>
      <c r="F336" s="191" t="s">
        <v>59</v>
      </c>
      <c r="G336" s="191" t="s">
        <v>59</v>
      </c>
      <c r="H336" s="191"/>
      <c r="I336" s="190"/>
      <c r="J336" s="180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AB336" s="174" t="str">
        <f t="shared" si="122"/>
        <v>Linton Maina</v>
      </c>
    </row>
    <row r="337" spans="1:28" ht="10.5" customHeight="1" x14ac:dyDescent="0.2">
      <c r="A337" s="199">
        <v>40</v>
      </c>
      <c r="B337" s="189" t="s">
        <v>348</v>
      </c>
      <c r="C337" s="189" t="s">
        <v>2</v>
      </c>
      <c r="D337" s="190" t="s">
        <v>59</v>
      </c>
      <c r="E337" s="190" t="s">
        <v>59</v>
      </c>
      <c r="F337" s="191" t="s">
        <v>59</v>
      </c>
      <c r="G337" s="191" t="s">
        <v>59</v>
      </c>
      <c r="H337" s="191"/>
      <c r="I337" s="190"/>
      <c r="J337" s="180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AB337" s="174" t="str">
        <f t="shared" ref="AB337" si="124">B337</f>
        <v>Faride Alidou</v>
      </c>
    </row>
    <row r="338" spans="1:28" ht="10.5" customHeight="1" x14ac:dyDescent="0.2">
      <c r="A338" s="200">
        <v>9</v>
      </c>
      <c r="B338" s="194" t="s">
        <v>457</v>
      </c>
      <c r="C338" s="194" t="s">
        <v>3</v>
      </c>
      <c r="D338" s="195" t="s">
        <v>59</v>
      </c>
      <c r="E338" s="195" t="s">
        <v>59</v>
      </c>
      <c r="F338" s="196" t="s">
        <v>59</v>
      </c>
      <c r="G338" s="196" t="s">
        <v>59</v>
      </c>
      <c r="H338" s="196"/>
      <c r="I338" s="195"/>
      <c r="J338" s="180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AB338" s="174" t="str">
        <f t="shared" ref="AB338" si="125">B338</f>
        <v>Luca Waldschmidt</v>
      </c>
    </row>
    <row r="339" spans="1:28" ht="10.5" customHeight="1" x14ac:dyDescent="0.2">
      <c r="A339" s="200">
        <v>13</v>
      </c>
      <c r="B339" s="194" t="s">
        <v>295</v>
      </c>
      <c r="C339" s="194" t="s">
        <v>3</v>
      </c>
      <c r="D339" s="195" t="s">
        <v>59</v>
      </c>
      <c r="E339" s="195" t="s">
        <v>59</v>
      </c>
      <c r="F339" s="196" t="s">
        <v>59</v>
      </c>
      <c r="G339" s="196" t="s">
        <v>59</v>
      </c>
      <c r="H339" s="196"/>
      <c r="I339" s="195"/>
      <c r="J339" s="180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AB339" s="174" t="str">
        <f t="shared" ref="AB339:AB344" si="126">B339</f>
        <v>Mark Uth</v>
      </c>
    </row>
    <row r="340" spans="1:28" ht="10.5" customHeight="1" x14ac:dyDescent="0.2">
      <c r="A340" s="200">
        <v>21</v>
      </c>
      <c r="B340" s="194" t="s">
        <v>254</v>
      </c>
      <c r="C340" s="194" t="s">
        <v>3</v>
      </c>
      <c r="D340" s="195" t="s">
        <v>59</v>
      </c>
      <c r="E340" s="195" t="s">
        <v>59</v>
      </c>
      <c r="F340" s="196" t="s">
        <v>59</v>
      </c>
      <c r="G340" s="196" t="s">
        <v>59</v>
      </c>
      <c r="H340" s="196"/>
      <c r="I340" s="195"/>
      <c r="J340" s="180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AB340" s="174" t="str">
        <f t="shared" si="126"/>
        <v>Steffen Tigges</v>
      </c>
    </row>
    <row r="341" spans="1:28" ht="10.5" customHeight="1" x14ac:dyDescent="0.2">
      <c r="A341" s="200">
        <v>23</v>
      </c>
      <c r="B341" s="194" t="s">
        <v>339</v>
      </c>
      <c r="C341" s="194" t="s">
        <v>3</v>
      </c>
      <c r="D341" s="195" t="s">
        <v>59</v>
      </c>
      <c r="E341" s="195" t="s">
        <v>59</v>
      </c>
      <c r="F341" s="196" t="s">
        <v>59</v>
      </c>
      <c r="G341" s="196" t="s">
        <v>59</v>
      </c>
      <c r="H341" s="196"/>
      <c r="I341" s="195"/>
      <c r="J341" s="180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AB341" s="174" t="str">
        <f t="shared" si="126"/>
        <v>Sargis Adamyan (A)</v>
      </c>
    </row>
    <row r="342" spans="1:28" ht="10.5" customHeight="1" x14ac:dyDescent="0.2">
      <c r="A342" s="200">
        <v>27</v>
      </c>
      <c r="B342" s="194" t="s">
        <v>136</v>
      </c>
      <c r="C342" s="194" t="s">
        <v>3</v>
      </c>
      <c r="D342" s="195" t="s">
        <v>59</v>
      </c>
      <c r="E342" s="195" t="s">
        <v>59</v>
      </c>
      <c r="F342" s="196" t="s">
        <v>59</v>
      </c>
      <c r="G342" s="196" t="s">
        <v>59</v>
      </c>
      <c r="H342" s="196"/>
      <c r="I342" s="195"/>
      <c r="J342" s="180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AB342" s="174" t="str">
        <f t="shared" si="126"/>
        <v>Davie Selke</v>
      </c>
    </row>
    <row r="343" spans="1:28" ht="10.5" customHeight="1" x14ac:dyDescent="0.2">
      <c r="A343" s="200">
        <v>33</v>
      </c>
      <c r="B343" s="194" t="s">
        <v>340</v>
      </c>
      <c r="C343" s="194" t="s">
        <v>3</v>
      </c>
      <c r="D343" s="195" t="s">
        <v>59</v>
      </c>
      <c r="E343" s="195" t="s">
        <v>59</v>
      </c>
      <c r="F343" s="196" t="s">
        <v>59</v>
      </c>
      <c r="G343" s="196" t="s">
        <v>59</v>
      </c>
      <c r="H343" s="196"/>
      <c r="I343" s="195"/>
      <c r="J343" s="180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AB343" s="174" t="str">
        <f t="shared" si="126"/>
        <v>Florian Dietz</v>
      </c>
    </row>
    <row r="344" spans="1:28" ht="10.5" customHeight="1" x14ac:dyDescent="0.2">
      <c r="A344" s="200">
        <v>42</v>
      </c>
      <c r="B344" s="194" t="s">
        <v>616</v>
      </c>
      <c r="C344" s="194" t="s">
        <v>3</v>
      </c>
      <c r="D344" s="195" t="s">
        <v>59</v>
      </c>
      <c r="E344" s="195" t="s">
        <v>59</v>
      </c>
      <c r="F344" s="196" t="s">
        <v>59</v>
      </c>
      <c r="G344" s="196" t="s">
        <v>59</v>
      </c>
      <c r="H344" s="196"/>
      <c r="I344" s="195"/>
      <c r="J344" s="180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AB344" s="174" t="str">
        <f t="shared" si="126"/>
        <v>Damian Downs</v>
      </c>
    </row>
    <row r="345" spans="1:28" ht="10.5" customHeight="1" x14ac:dyDescent="0.2">
      <c r="A345" s="200">
        <v>45</v>
      </c>
      <c r="B345" s="194" t="s">
        <v>647</v>
      </c>
      <c r="C345" s="194" t="s">
        <v>3</v>
      </c>
      <c r="D345" s="195" t="s">
        <v>59</v>
      </c>
      <c r="E345" s="195" t="s">
        <v>59</v>
      </c>
      <c r="F345" s="196" t="s">
        <v>59</v>
      </c>
      <c r="G345" s="196" t="s">
        <v>59</v>
      </c>
      <c r="H345" s="196"/>
      <c r="I345" s="195"/>
      <c r="J345" s="180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AB345" s="174" t="str">
        <f t="shared" ref="AB345" si="127">B345</f>
        <v>Justin Diehl</v>
      </c>
    </row>
    <row r="346" spans="1:28" ht="15" customHeight="1" thickBot="1" x14ac:dyDescent="0.25">
      <c r="A346" s="219" t="s">
        <v>122</v>
      </c>
      <c r="B346" s="219"/>
      <c r="C346" s="219"/>
      <c r="D346" s="219"/>
      <c r="E346" s="219"/>
      <c r="F346" s="219"/>
      <c r="G346" s="219"/>
      <c r="H346" s="219"/>
      <c r="I346" s="219"/>
      <c r="J346" s="10"/>
      <c r="K346" s="175">
        <v>12</v>
      </c>
      <c r="L346" s="175">
        <v>12</v>
      </c>
      <c r="M346" s="175">
        <v>12</v>
      </c>
      <c r="N346" s="175">
        <v>12</v>
      </c>
      <c r="O346" s="175">
        <v>12</v>
      </c>
      <c r="P346" s="175">
        <v>12</v>
      </c>
      <c r="Q346" s="175">
        <v>12</v>
      </c>
      <c r="R346" s="175">
        <v>12</v>
      </c>
      <c r="S346" s="175">
        <v>12</v>
      </c>
      <c r="T346" s="175">
        <v>12</v>
      </c>
      <c r="U346" s="175">
        <v>12</v>
      </c>
      <c r="V346" s="175">
        <v>12</v>
      </c>
      <c r="W346" s="175">
        <v>12</v>
      </c>
      <c r="X346" s="175">
        <v>12</v>
      </c>
      <c r="Y346" s="175">
        <v>12</v>
      </c>
      <c r="Z346" s="216"/>
      <c r="AB346" s="174" t="str">
        <f>A346</f>
        <v xml:space="preserve"> TSG 1899 Hoffenheim</v>
      </c>
    </row>
    <row r="347" spans="1:28" s="113" customFormat="1" ht="10.5" customHeight="1" x14ac:dyDescent="0.2">
      <c r="A347" s="176">
        <v>1</v>
      </c>
      <c r="B347" s="177" t="s">
        <v>86</v>
      </c>
      <c r="C347" s="177" t="s">
        <v>0</v>
      </c>
      <c r="D347" s="178" t="s">
        <v>59</v>
      </c>
      <c r="E347" s="178" t="s">
        <v>59</v>
      </c>
      <c r="F347" s="179" t="s">
        <v>59</v>
      </c>
      <c r="G347" s="179" t="s">
        <v>59</v>
      </c>
      <c r="H347" s="179"/>
      <c r="I347" s="178"/>
      <c r="J347" s="180"/>
      <c r="K347" s="181">
        <v>1</v>
      </c>
      <c r="L347" s="181">
        <v>1</v>
      </c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  <c r="Y347" s="181"/>
      <c r="Z347" s="171"/>
      <c r="AB347" s="174" t="str">
        <f t="shared" ref="AB347" si="128">B347</f>
        <v>Oliver Baumann</v>
      </c>
    </row>
    <row r="348" spans="1:28" s="113" customFormat="1" ht="10.5" customHeight="1" x14ac:dyDescent="0.2">
      <c r="A348" s="176">
        <v>36</v>
      </c>
      <c r="B348" s="177" t="s">
        <v>283</v>
      </c>
      <c r="C348" s="177" t="s">
        <v>0</v>
      </c>
      <c r="D348" s="178" t="s">
        <v>59</v>
      </c>
      <c r="E348" s="178" t="s">
        <v>59</v>
      </c>
      <c r="F348" s="179" t="s">
        <v>59</v>
      </c>
      <c r="G348" s="179" t="s">
        <v>59</v>
      </c>
      <c r="H348" s="179"/>
      <c r="I348" s="178"/>
      <c r="J348" s="180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71"/>
      <c r="AB348" s="174" t="str">
        <f t="shared" ref="AB348:AB349" si="129">B348</f>
        <v>Nahuell Noll</v>
      </c>
    </row>
    <row r="349" spans="1:28" s="113" customFormat="1" ht="10.5" customHeight="1" x14ac:dyDescent="0.2">
      <c r="A349" s="176">
        <v>37</v>
      </c>
      <c r="B349" s="177" t="s">
        <v>230</v>
      </c>
      <c r="C349" s="177" t="s">
        <v>0</v>
      </c>
      <c r="D349" s="178" t="s">
        <v>59</v>
      </c>
      <c r="E349" s="178" t="s">
        <v>59</v>
      </c>
      <c r="F349" s="179" t="s">
        <v>59</v>
      </c>
      <c r="G349" s="179" t="s">
        <v>59</v>
      </c>
      <c r="H349" s="179"/>
      <c r="I349" s="178"/>
      <c r="J349" s="180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71"/>
      <c r="AB349" s="174" t="str">
        <f t="shared" si="129"/>
        <v>Luca Philipp</v>
      </c>
    </row>
    <row r="350" spans="1:28" s="113" customFormat="1" ht="10.5" customHeight="1" x14ac:dyDescent="0.2">
      <c r="A350" s="197">
        <v>3</v>
      </c>
      <c r="B350" s="198" t="s">
        <v>159</v>
      </c>
      <c r="C350" s="184" t="s">
        <v>1</v>
      </c>
      <c r="D350" s="185" t="s">
        <v>59</v>
      </c>
      <c r="E350" s="185" t="s">
        <v>59</v>
      </c>
      <c r="F350" s="186" t="s">
        <v>59</v>
      </c>
      <c r="G350" s="186" t="s">
        <v>59</v>
      </c>
      <c r="H350" s="186"/>
      <c r="I350" s="185"/>
      <c r="J350" s="180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71"/>
      <c r="AB350" s="174" t="str">
        <f t="shared" ref="AB350:AB356" si="130">B350</f>
        <v>Pavel Kaderábek (A)</v>
      </c>
    </row>
    <row r="351" spans="1:28" s="113" customFormat="1" ht="10.5" customHeight="1" x14ac:dyDescent="0.2">
      <c r="A351" s="197">
        <v>5</v>
      </c>
      <c r="B351" s="198" t="s">
        <v>343</v>
      </c>
      <c r="C351" s="184" t="s">
        <v>1</v>
      </c>
      <c r="D351" s="185" t="s">
        <v>59</v>
      </c>
      <c r="E351" s="185" t="s">
        <v>59</v>
      </c>
      <c r="F351" s="186" t="s">
        <v>59</v>
      </c>
      <c r="G351" s="186" t="s">
        <v>59</v>
      </c>
      <c r="H351" s="186"/>
      <c r="I351" s="185"/>
      <c r="J351" s="180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71"/>
      <c r="AB351" s="174" t="str">
        <f t="shared" si="130"/>
        <v>Ozan Kabak (A)</v>
      </c>
    </row>
    <row r="352" spans="1:28" s="113" customFormat="1" ht="10.5" customHeight="1" x14ac:dyDescent="0.2">
      <c r="A352" s="197">
        <v>15</v>
      </c>
      <c r="B352" s="198" t="s">
        <v>458</v>
      </c>
      <c r="C352" s="184" t="s">
        <v>1</v>
      </c>
      <c r="D352" s="185" t="s">
        <v>59</v>
      </c>
      <c r="E352" s="185" t="s">
        <v>59</v>
      </c>
      <c r="F352" s="186" t="s">
        <v>59</v>
      </c>
      <c r="G352" s="186" t="s">
        <v>59</v>
      </c>
      <c r="H352" s="186"/>
      <c r="I352" s="185"/>
      <c r="J352" s="180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71"/>
      <c r="AB352" s="174" t="str">
        <f t="shared" si="130"/>
        <v>Kasim Adams (A)</v>
      </c>
    </row>
    <row r="353" spans="1:28" s="113" customFormat="1" ht="10.5" customHeight="1" x14ac:dyDescent="0.2">
      <c r="A353" s="197">
        <v>19</v>
      </c>
      <c r="B353" s="198" t="s">
        <v>654</v>
      </c>
      <c r="C353" s="184" t="s">
        <v>1</v>
      </c>
      <c r="D353" s="185" t="s">
        <v>59</v>
      </c>
      <c r="E353" s="185" t="s">
        <v>59</v>
      </c>
      <c r="F353" s="186" t="s">
        <v>59</v>
      </c>
      <c r="G353" s="186" t="s">
        <v>59</v>
      </c>
      <c r="H353" s="186"/>
      <c r="I353" s="185"/>
      <c r="J353" s="180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71"/>
      <c r="AB353" s="174" t="str">
        <f t="shared" ref="AB353" si="131">B353</f>
        <v>David Jurasek (A)</v>
      </c>
    </row>
    <row r="354" spans="1:28" s="113" customFormat="1" ht="10.5" customHeight="1" x14ac:dyDescent="0.2">
      <c r="A354" s="197">
        <v>23</v>
      </c>
      <c r="B354" s="198" t="s">
        <v>395</v>
      </c>
      <c r="C354" s="184" t="s">
        <v>1</v>
      </c>
      <c r="D354" s="185" t="s">
        <v>59</v>
      </c>
      <c r="E354" s="185" t="s">
        <v>59</v>
      </c>
      <c r="F354" s="186" t="s">
        <v>59</v>
      </c>
      <c r="G354" s="186" t="s">
        <v>59</v>
      </c>
      <c r="H354" s="186"/>
      <c r="I354" s="185"/>
      <c r="J354" s="180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71"/>
      <c r="AB354" s="174" t="str">
        <f t="shared" si="130"/>
        <v>John Anthony Brooks</v>
      </c>
    </row>
    <row r="355" spans="1:28" s="113" customFormat="1" ht="10.5" customHeight="1" x14ac:dyDescent="0.2">
      <c r="A355" s="197">
        <v>25</v>
      </c>
      <c r="B355" s="198" t="s">
        <v>158</v>
      </c>
      <c r="C355" s="184" t="s">
        <v>1</v>
      </c>
      <c r="D355" s="185" t="s">
        <v>59</v>
      </c>
      <c r="E355" s="185" t="s">
        <v>59</v>
      </c>
      <c r="F355" s="186" t="s">
        <v>59</v>
      </c>
      <c r="G355" s="186" t="s">
        <v>59</v>
      </c>
      <c r="H355" s="186"/>
      <c r="I355" s="185"/>
      <c r="J355" s="180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71"/>
      <c r="AB355" s="174" t="str">
        <f t="shared" ref="AB355" si="132">B355</f>
        <v>Kevin Akpoguma</v>
      </c>
    </row>
    <row r="356" spans="1:28" s="113" customFormat="1" ht="10.5" customHeight="1" x14ac:dyDescent="0.2">
      <c r="A356" s="197">
        <v>34</v>
      </c>
      <c r="B356" s="198" t="s">
        <v>373</v>
      </c>
      <c r="C356" s="184" t="s">
        <v>1</v>
      </c>
      <c r="D356" s="185" t="s">
        <v>59</v>
      </c>
      <c r="E356" s="185" t="s">
        <v>59</v>
      </c>
      <c r="F356" s="186" t="s">
        <v>59</v>
      </c>
      <c r="G356" s="186" t="s">
        <v>59</v>
      </c>
      <c r="H356" s="186"/>
      <c r="I356" s="185"/>
      <c r="J356" s="180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71"/>
      <c r="AB356" s="174" t="str">
        <f t="shared" si="130"/>
        <v>Stanley Nsoki (A)</v>
      </c>
    </row>
    <row r="357" spans="1:28" s="113" customFormat="1" ht="10.5" customHeight="1" x14ac:dyDescent="0.2">
      <c r="A357" s="199">
        <v>6</v>
      </c>
      <c r="B357" s="189" t="s">
        <v>211</v>
      </c>
      <c r="C357" s="189" t="s">
        <v>2</v>
      </c>
      <c r="D357" s="190" t="s">
        <v>59</v>
      </c>
      <c r="E357" s="190" t="s">
        <v>59</v>
      </c>
      <c r="F357" s="191" t="s">
        <v>59</v>
      </c>
      <c r="G357" s="191" t="s">
        <v>59</v>
      </c>
      <c r="H357" s="191"/>
      <c r="I357" s="190"/>
      <c r="J357" s="180"/>
      <c r="K357" s="181"/>
      <c r="L357" s="181"/>
      <c r="M357" s="181">
        <v>8</v>
      </c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71"/>
      <c r="AB357" s="174" t="str">
        <f t="shared" ref="AB357:AB359" si="133">B357</f>
        <v>Grischa Prömel</v>
      </c>
    </row>
    <row r="358" spans="1:28" s="113" customFormat="1" ht="10.5" customHeight="1" x14ac:dyDescent="0.2">
      <c r="A358" s="199">
        <v>8</v>
      </c>
      <c r="B358" s="189" t="s">
        <v>143</v>
      </c>
      <c r="C358" s="189" t="s">
        <v>2</v>
      </c>
      <c r="D358" s="190" t="s">
        <v>59</v>
      </c>
      <c r="E358" s="190" t="s">
        <v>59</v>
      </c>
      <c r="F358" s="191" t="s">
        <v>59</v>
      </c>
      <c r="G358" s="191" t="s">
        <v>59</v>
      </c>
      <c r="H358" s="191"/>
      <c r="I358" s="190"/>
      <c r="J358" s="180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71"/>
      <c r="AB358" s="174" t="str">
        <f t="shared" si="133"/>
        <v>Dennis Geiger</v>
      </c>
    </row>
    <row r="359" spans="1:28" s="113" customFormat="1" ht="10.5" customHeight="1" x14ac:dyDescent="0.2">
      <c r="A359" s="199">
        <v>11</v>
      </c>
      <c r="B359" s="189" t="s">
        <v>460</v>
      </c>
      <c r="C359" s="189" t="s">
        <v>2</v>
      </c>
      <c r="D359" s="190" t="s">
        <v>59</v>
      </c>
      <c r="E359" s="190" t="s">
        <v>59</v>
      </c>
      <c r="F359" s="191" t="s">
        <v>59</v>
      </c>
      <c r="G359" s="191" t="s">
        <v>59</v>
      </c>
      <c r="H359" s="191"/>
      <c r="I359" s="190"/>
      <c r="J359" s="180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71"/>
      <c r="AB359" s="174" t="str">
        <f t="shared" si="133"/>
        <v>Florian Grillitsch (A)</v>
      </c>
    </row>
    <row r="360" spans="1:28" s="113" customFormat="1" ht="10.5" customHeight="1" x14ac:dyDescent="0.2">
      <c r="A360" s="199">
        <v>16</v>
      </c>
      <c r="B360" s="189" t="s">
        <v>286</v>
      </c>
      <c r="C360" s="189" t="s">
        <v>2</v>
      </c>
      <c r="D360" s="190" t="s">
        <v>59</v>
      </c>
      <c r="E360" s="190" t="s">
        <v>59</v>
      </c>
      <c r="F360" s="191" t="s">
        <v>59</v>
      </c>
      <c r="G360" s="191" t="s">
        <v>59</v>
      </c>
      <c r="H360" s="191"/>
      <c r="I360" s="190"/>
      <c r="J360" s="180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71"/>
      <c r="AB360" s="174" t="str">
        <f t="shared" ref="AB360" si="134">B360</f>
        <v>Anton Stach</v>
      </c>
    </row>
    <row r="361" spans="1:28" s="113" customFormat="1" ht="10.5" customHeight="1" x14ac:dyDescent="0.2">
      <c r="A361" s="199">
        <v>20</v>
      </c>
      <c r="B361" s="189" t="s">
        <v>344</v>
      </c>
      <c r="C361" s="189" t="s">
        <v>2</v>
      </c>
      <c r="D361" s="190" t="s">
        <v>59</v>
      </c>
      <c r="E361" s="190" t="s">
        <v>59</v>
      </c>
      <c r="F361" s="191" t="s">
        <v>59</v>
      </c>
      <c r="G361" s="191" t="s">
        <v>59</v>
      </c>
      <c r="H361" s="191"/>
      <c r="I361" s="190"/>
      <c r="J361" s="180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71"/>
      <c r="AB361" s="174" t="str">
        <f t="shared" ref="AB361:AB363" si="135">B361</f>
        <v>Finn Ole Becker</v>
      </c>
    </row>
    <row r="362" spans="1:28" s="113" customFormat="1" ht="10.5" customHeight="1" x14ac:dyDescent="0.2">
      <c r="A362" s="199">
        <v>24</v>
      </c>
      <c r="B362" s="189" t="s">
        <v>462</v>
      </c>
      <c r="C362" s="189" t="s">
        <v>2</v>
      </c>
      <c r="D362" s="190" t="s">
        <v>59</v>
      </c>
      <c r="E362" s="190" t="s">
        <v>59</v>
      </c>
      <c r="F362" s="191" t="s">
        <v>59</v>
      </c>
      <c r="G362" s="191" t="s">
        <v>59</v>
      </c>
      <c r="H362" s="191"/>
      <c r="I362" s="190"/>
      <c r="J362" s="180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71"/>
      <c r="AB362" s="174" t="str">
        <f t="shared" si="135"/>
        <v>Marco John</v>
      </c>
    </row>
    <row r="363" spans="1:28" s="113" customFormat="1" ht="10.5" customHeight="1" x14ac:dyDescent="0.2">
      <c r="A363" s="199">
        <v>31</v>
      </c>
      <c r="B363" s="189" t="s">
        <v>609</v>
      </c>
      <c r="C363" s="189" t="s">
        <v>2</v>
      </c>
      <c r="D363" s="190" t="s">
        <v>59</v>
      </c>
      <c r="E363" s="190" t="s">
        <v>59</v>
      </c>
      <c r="F363" s="191" t="s">
        <v>59</v>
      </c>
      <c r="G363" s="191" t="s">
        <v>59</v>
      </c>
      <c r="H363" s="191"/>
      <c r="I363" s="190"/>
      <c r="J363" s="180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71"/>
      <c r="AB363" s="174" t="str">
        <f t="shared" si="135"/>
        <v>Bambasé Conté</v>
      </c>
    </row>
    <row r="364" spans="1:28" s="113" customFormat="1" ht="10.5" customHeight="1" x14ac:dyDescent="0.2">
      <c r="A364" s="199">
        <v>39</v>
      </c>
      <c r="B364" s="189" t="s">
        <v>281</v>
      </c>
      <c r="C364" s="189" t="s">
        <v>2</v>
      </c>
      <c r="D364" s="190" t="s">
        <v>59</v>
      </c>
      <c r="E364" s="190" t="s">
        <v>59</v>
      </c>
      <c r="F364" s="191" t="s">
        <v>59</v>
      </c>
      <c r="G364" s="191" t="s">
        <v>59</v>
      </c>
      <c r="H364" s="191"/>
      <c r="I364" s="190"/>
      <c r="J364" s="180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71"/>
      <c r="AB364" s="174" t="str">
        <f t="shared" ref="AB364:AB366" si="136">B364</f>
        <v>Tom Bischof</v>
      </c>
    </row>
    <row r="365" spans="1:28" s="113" customFormat="1" ht="10.5" customHeight="1" x14ac:dyDescent="0.2">
      <c r="A365" s="199">
        <v>40</v>
      </c>
      <c r="B365" s="189" t="s">
        <v>396</v>
      </c>
      <c r="C365" s="189" t="s">
        <v>2</v>
      </c>
      <c r="D365" s="190" t="s">
        <v>59</v>
      </c>
      <c r="E365" s="190" t="s">
        <v>59</v>
      </c>
      <c r="F365" s="191" t="s">
        <v>59</v>
      </c>
      <c r="G365" s="191" t="s">
        <v>59</v>
      </c>
      <c r="H365" s="191"/>
      <c r="I365" s="190"/>
      <c r="J365" s="180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71"/>
      <c r="AB365" s="174" t="str">
        <f t="shared" si="136"/>
        <v>Umut Tohumcu</v>
      </c>
    </row>
    <row r="366" spans="1:28" s="113" customFormat="1" ht="10.5" customHeight="1" x14ac:dyDescent="0.2">
      <c r="A366" s="200">
        <v>7</v>
      </c>
      <c r="B366" s="194" t="s">
        <v>603</v>
      </c>
      <c r="C366" s="194" t="s">
        <v>3</v>
      </c>
      <c r="D366" s="195" t="s">
        <v>59</v>
      </c>
      <c r="E366" s="195" t="s">
        <v>59</v>
      </c>
      <c r="F366" s="195" t="s">
        <v>59</v>
      </c>
      <c r="G366" s="195" t="s">
        <v>59</v>
      </c>
      <c r="H366" s="196"/>
      <c r="I366" s="195"/>
      <c r="J366" s="180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71"/>
      <c r="AB366" s="174" t="str">
        <f t="shared" si="136"/>
        <v>Mërgim Berisha</v>
      </c>
    </row>
    <row r="367" spans="1:28" s="113" customFormat="1" ht="10.5" customHeight="1" x14ac:dyDescent="0.2">
      <c r="A367" s="200">
        <v>9</v>
      </c>
      <c r="B367" s="194" t="s">
        <v>192</v>
      </c>
      <c r="C367" s="194" t="s">
        <v>3</v>
      </c>
      <c r="D367" s="195" t="s">
        <v>59</v>
      </c>
      <c r="E367" s="195" t="s">
        <v>59</v>
      </c>
      <c r="F367" s="195" t="s">
        <v>59</v>
      </c>
      <c r="G367" s="195" t="s">
        <v>59</v>
      </c>
      <c r="H367" s="196"/>
      <c r="I367" s="195"/>
      <c r="J367" s="180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71"/>
      <c r="AB367" s="174" t="str">
        <f t="shared" ref="AB367" si="137">B367</f>
        <v>Ihlas Bebou (A)</v>
      </c>
    </row>
    <row r="368" spans="1:28" s="113" customFormat="1" ht="10.5" customHeight="1" x14ac:dyDescent="0.2">
      <c r="A368" s="200">
        <v>10</v>
      </c>
      <c r="B368" s="194" t="s">
        <v>463</v>
      </c>
      <c r="C368" s="194" t="s">
        <v>3</v>
      </c>
      <c r="D368" s="195" t="s">
        <v>59</v>
      </c>
      <c r="E368" s="195" t="s">
        <v>59</v>
      </c>
      <c r="F368" s="195" t="s">
        <v>59</v>
      </c>
      <c r="G368" s="195" t="s">
        <v>59</v>
      </c>
      <c r="H368" s="196"/>
      <c r="I368" s="195"/>
      <c r="J368" s="180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71"/>
      <c r="AB368" s="174" t="str">
        <f t="shared" ref="AB368:AB372" si="138">B368</f>
        <v>Wout Weghorst (A)</v>
      </c>
    </row>
    <row r="369" spans="1:28" s="113" customFormat="1" ht="10.5" customHeight="1" x14ac:dyDescent="0.2">
      <c r="A369" s="200">
        <v>14</v>
      </c>
      <c r="B369" s="194" t="s">
        <v>464</v>
      </c>
      <c r="C369" s="194" t="s">
        <v>3</v>
      </c>
      <c r="D369" s="195" t="s">
        <v>59</v>
      </c>
      <c r="E369" s="195" t="s">
        <v>59</v>
      </c>
      <c r="F369" s="195" t="s">
        <v>59</v>
      </c>
      <c r="G369" s="195" t="s">
        <v>59</v>
      </c>
      <c r="H369" s="196"/>
      <c r="I369" s="195"/>
      <c r="J369" s="180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  <c r="X369" s="181"/>
      <c r="Y369" s="181"/>
      <c r="Z369" s="171"/>
      <c r="AB369" s="174" t="str">
        <f t="shared" si="138"/>
        <v>Maximilian Beier</v>
      </c>
    </row>
    <row r="370" spans="1:28" s="113" customFormat="1" ht="10.5" customHeight="1" x14ac:dyDescent="0.2">
      <c r="A370" s="200">
        <v>21</v>
      </c>
      <c r="B370" s="194" t="s">
        <v>358</v>
      </c>
      <c r="C370" s="194" t="s">
        <v>3</v>
      </c>
      <c r="D370" s="195" t="s">
        <v>59</v>
      </c>
      <c r="E370" s="195" t="s">
        <v>59</v>
      </c>
      <c r="F370" s="195" t="s">
        <v>59</v>
      </c>
      <c r="G370" s="195" t="s">
        <v>59</v>
      </c>
      <c r="H370" s="196"/>
      <c r="I370" s="195"/>
      <c r="J370" s="180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71"/>
      <c r="AB370" s="174" t="str">
        <f t="shared" ref="AB370" si="139">B370</f>
        <v>Marius Bülter</v>
      </c>
    </row>
    <row r="371" spans="1:28" s="113" customFormat="1" ht="10.5" customHeight="1" x14ac:dyDescent="0.2">
      <c r="A371" s="200">
        <v>27</v>
      </c>
      <c r="B371" s="194" t="s">
        <v>588</v>
      </c>
      <c r="C371" s="194" t="s">
        <v>3</v>
      </c>
      <c r="D371" s="195" t="s">
        <v>59</v>
      </c>
      <c r="E371" s="195" t="s">
        <v>59</v>
      </c>
      <c r="F371" s="195" t="s">
        <v>59</v>
      </c>
      <c r="G371" s="195" t="s">
        <v>59</v>
      </c>
      <c r="H371" s="196"/>
      <c r="I371" s="195"/>
      <c r="J371" s="180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71"/>
      <c r="AB371" s="174" t="str">
        <f t="shared" si="138"/>
        <v>Andrej Kramarić (A)</v>
      </c>
    </row>
    <row r="372" spans="1:28" s="113" customFormat="1" ht="10.5" customHeight="1" x14ac:dyDescent="0.2">
      <c r="A372" s="200">
        <v>29</v>
      </c>
      <c r="B372" s="194" t="s">
        <v>193</v>
      </c>
      <c r="C372" s="194" t="s">
        <v>3</v>
      </c>
      <c r="D372" s="195" t="s">
        <v>59</v>
      </c>
      <c r="E372" s="195" t="s">
        <v>59</v>
      </c>
      <c r="F372" s="195" t="s">
        <v>59</v>
      </c>
      <c r="G372" s="195" t="s">
        <v>59</v>
      </c>
      <c r="H372" s="196"/>
      <c r="I372" s="195"/>
      <c r="J372" s="180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71"/>
      <c r="AB372" s="174" t="str">
        <f t="shared" si="138"/>
        <v>Robert Skov (A)</v>
      </c>
    </row>
    <row r="373" spans="1:28" ht="15" customHeight="1" thickBot="1" x14ac:dyDescent="0.25">
      <c r="A373" s="218" t="s">
        <v>321</v>
      </c>
      <c r="B373" s="218"/>
      <c r="C373" s="218"/>
      <c r="D373" s="218"/>
      <c r="E373" s="218"/>
      <c r="F373" s="218"/>
      <c r="G373" s="218"/>
      <c r="H373" s="218"/>
      <c r="I373" s="218"/>
      <c r="J373" s="10"/>
      <c r="K373" s="175">
        <v>12</v>
      </c>
      <c r="L373" s="175">
        <v>12</v>
      </c>
      <c r="M373" s="175">
        <v>12</v>
      </c>
      <c r="N373" s="175">
        <v>12</v>
      </c>
      <c r="O373" s="175">
        <v>12</v>
      </c>
      <c r="P373" s="175">
        <v>12</v>
      </c>
      <c r="Q373" s="175">
        <v>12</v>
      </c>
      <c r="R373" s="175">
        <v>12</v>
      </c>
      <c r="S373" s="175">
        <v>12</v>
      </c>
      <c r="T373" s="175">
        <v>12</v>
      </c>
      <c r="U373" s="175">
        <v>12</v>
      </c>
      <c r="V373" s="175">
        <v>12</v>
      </c>
      <c r="W373" s="175">
        <v>12</v>
      </c>
      <c r="X373" s="175">
        <v>12</v>
      </c>
      <c r="Y373" s="175">
        <v>12</v>
      </c>
      <c r="Z373" s="216"/>
      <c r="AB373" s="174" t="str">
        <f>A373</f>
        <v>SV Werder Bremen</v>
      </c>
    </row>
    <row r="374" spans="1:28" s="113" customFormat="1" ht="10.5" customHeight="1" x14ac:dyDescent="0.2">
      <c r="A374" s="176">
        <v>1</v>
      </c>
      <c r="B374" s="177" t="s">
        <v>359</v>
      </c>
      <c r="C374" s="177" t="s">
        <v>0</v>
      </c>
      <c r="D374" s="178" t="s">
        <v>59</v>
      </c>
      <c r="E374" s="178" t="s">
        <v>59</v>
      </c>
      <c r="F374" s="179" t="s">
        <v>59</v>
      </c>
      <c r="G374" s="179" t="s">
        <v>59</v>
      </c>
      <c r="H374" s="179"/>
      <c r="I374" s="178"/>
      <c r="J374" s="180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71"/>
      <c r="AB374" s="174" t="str">
        <f t="shared" ref="AB374" si="140">B374</f>
        <v>Jiri Pavlenka (A)</v>
      </c>
    </row>
    <row r="375" spans="1:28" s="113" customFormat="1" ht="10.5" customHeight="1" x14ac:dyDescent="0.2">
      <c r="A375" s="176">
        <v>30</v>
      </c>
      <c r="B375" s="177" t="s">
        <v>360</v>
      </c>
      <c r="C375" s="177" t="s">
        <v>0</v>
      </c>
      <c r="D375" s="178" t="s">
        <v>59</v>
      </c>
      <c r="E375" s="178" t="s">
        <v>59</v>
      </c>
      <c r="F375" s="179" t="s">
        <v>59</v>
      </c>
      <c r="G375" s="179" t="s">
        <v>59</v>
      </c>
      <c r="H375" s="179"/>
      <c r="I375" s="178"/>
      <c r="J375" s="180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71"/>
      <c r="AB375" s="174" t="str">
        <f t="shared" ref="AB375:AB377" si="141">B375</f>
        <v>Michael Zetterer</v>
      </c>
    </row>
    <row r="376" spans="1:28" s="113" customFormat="1" ht="10.5" customHeight="1" x14ac:dyDescent="0.2">
      <c r="A376" s="176">
        <v>37</v>
      </c>
      <c r="B376" s="177" t="s">
        <v>635</v>
      </c>
      <c r="C376" s="177" t="s">
        <v>0</v>
      </c>
      <c r="D376" s="178" t="s">
        <v>59</v>
      </c>
      <c r="E376" s="178" t="s">
        <v>59</v>
      </c>
      <c r="F376" s="179" t="s">
        <v>59</v>
      </c>
      <c r="G376" s="179" t="s">
        <v>59</v>
      </c>
      <c r="H376" s="179"/>
      <c r="I376" s="178"/>
      <c r="J376" s="180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71"/>
      <c r="AB376" s="174" t="str">
        <f t="shared" ref="AB376" si="142">B376</f>
        <v>Spyros Angelidis (A)</v>
      </c>
    </row>
    <row r="377" spans="1:28" s="113" customFormat="1" ht="10.5" customHeight="1" x14ac:dyDescent="0.2">
      <c r="A377" s="176">
        <v>38</v>
      </c>
      <c r="B377" s="177" t="s">
        <v>361</v>
      </c>
      <c r="C377" s="177" t="s">
        <v>0</v>
      </c>
      <c r="D377" s="178" t="s">
        <v>59</v>
      </c>
      <c r="E377" s="178" t="s">
        <v>59</v>
      </c>
      <c r="F377" s="179" t="s">
        <v>59</v>
      </c>
      <c r="G377" s="179" t="s">
        <v>59</v>
      </c>
      <c r="H377" s="179"/>
      <c r="I377" s="178"/>
      <c r="J377" s="180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71"/>
      <c r="AB377" s="174" t="str">
        <f t="shared" si="141"/>
        <v>Eduardo dos Santos Haesler</v>
      </c>
    </row>
    <row r="378" spans="1:28" s="113" customFormat="1" ht="10.5" customHeight="1" x14ac:dyDescent="0.2">
      <c r="A378" s="197">
        <v>2</v>
      </c>
      <c r="B378" s="198" t="s">
        <v>610</v>
      </c>
      <c r="C378" s="184" t="s">
        <v>1</v>
      </c>
      <c r="D378" s="185" t="s">
        <v>59</v>
      </c>
      <c r="E378" s="185" t="s">
        <v>59</v>
      </c>
      <c r="F378" s="186" t="s">
        <v>59</v>
      </c>
      <c r="G378" s="186" t="s">
        <v>59</v>
      </c>
      <c r="H378" s="186"/>
      <c r="I378" s="185"/>
      <c r="J378" s="180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71"/>
      <c r="AB378" s="174" t="str">
        <f>B378</f>
        <v>Olivier Deman (A)</v>
      </c>
    </row>
    <row r="379" spans="1:28" s="113" customFormat="1" ht="10.5" customHeight="1" x14ac:dyDescent="0.2">
      <c r="A379" s="197">
        <v>3</v>
      </c>
      <c r="B379" s="198" t="s">
        <v>362</v>
      </c>
      <c r="C379" s="184" t="s">
        <v>1</v>
      </c>
      <c r="D379" s="185" t="s">
        <v>59</v>
      </c>
      <c r="E379" s="185" t="s">
        <v>59</v>
      </c>
      <c r="F379" s="186" t="s">
        <v>59</v>
      </c>
      <c r="G379" s="186" t="s">
        <v>59</v>
      </c>
      <c r="H379" s="186"/>
      <c r="I379" s="185"/>
      <c r="J379" s="180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71"/>
      <c r="AB379" s="174" t="str">
        <f>B379</f>
        <v>Anthony Jung</v>
      </c>
    </row>
    <row r="380" spans="1:28" s="113" customFormat="1" ht="10.5" customHeight="1" x14ac:dyDescent="0.2">
      <c r="A380" s="197">
        <v>4</v>
      </c>
      <c r="B380" s="198" t="s">
        <v>144</v>
      </c>
      <c r="C380" s="184" t="s">
        <v>1</v>
      </c>
      <c r="D380" s="185" t="s">
        <v>59</v>
      </c>
      <c r="E380" s="185" t="s">
        <v>59</v>
      </c>
      <c r="F380" s="186" t="s">
        <v>59</v>
      </c>
      <c r="G380" s="186" t="s">
        <v>59</v>
      </c>
      <c r="H380" s="186"/>
      <c r="I380" s="185"/>
      <c r="J380" s="180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71"/>
      <c r="AB380" s="174" t="str">
        <f t="shared" ref="AB380:AB387" si="143">B380</f>
        <v>Niklas Stark</v>
      </c>
    </row>
    <row r="381" spans="1:28" s="113" customFormat="1" ht="10.5" customHeight="1" x14ac:dyDescent="0.2">
      <c r="A381" s="197">
        <v>5</v>
      </c>
      <c r="B381" s="198" t="s">
        <v>237</v>
      </c>
      <c r="C381" s="184" t="s">
        <v>1</v>
      </c>
      <c r="D381" s="185" t="s">
        <v>59</v>
      </c>
      <c r="E381" s="185" t="s">
        <v>59</v>
      </c>
      <c r="F381" s="186" t="s">
        <v>59</v>
      </c>
      <c r="G381" s="186" t="s">
        <v>59</v>
      </c>
      <c r="H381" s="186"/>
      <c r="I381" s="185"/>
      <c r="J381" s="180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71"/>
      <c r="AB381" s="174" t="str">
        <f t="shared" si="143"/>
        <v>Amos Pieper</v>
      </c>
    </row>
    <row r="382" spans="1:28" s="113" customFormat="1" ht="10.5" customHeight="1" x14ac:dyDescent="0.2">
      <c r="A382" s="197">
        <v>8</v>
      </c>
      <c r="B382" s="198" t="s">
        <v>363</v>
      </c>
      <c r="C382" s="184" t="s">
        <v>1</v>
      </c>
      <c r="D382" s="185" t="s">
        <v>59</v>
      </c>
      <c r="E382" s="185" t="s">
        <v>59</v>
      </c>
      <c r="F382" s="186" t="s">
        <v>59</v>
      </c>
      <c r="G382" s="186" t="s">
        <v>59</v>
      </c>
      <c r="H382" s="186"/>
      <c r="I382" s="185"/>
      <c r="J382" s="180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71"/>
      <c r="AB382" s="174" t="str">
        <f t="shared" si="143"/>
        <v>Mitchell Weiser</v>
      </c>
    </row>
    <row r="383" spans="1:28" s="113" customFormat="1" ht="10.5" customHeight="1" x14ac:dyDescent="0.2">
      <c r="A383" s="197">
        <v>13</v>
      </c>
      <c r="B383" s="198" t="s">
        <v>597</v>
      </c>
      <c r="C383" s="184" t="s">
        <v>1</v>
      </c>
      <c r="D383" s="185" t="s">
        <v>59</v>
      </c>
      <c r="E383" s="185" t="s">
        <v>59</v>
      </c>
      <c r="F383" s="186" t="s">
        <v>59</v>
      </c>
      <c r="G383" s="186" t="s">
        <v>59</v>
      </c>
      <c r="H383" s="186"/>
      <c r="I383" s="185"/>
      <c r="J383" s="180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71"/>
      <c r="AB383" s="174" t="str">
        <f t="shared" si="143"/>
        <v>Miloš Veljković (A)</v>
      </c>
    </row>
    <row r="384" spans="1:28" s="113" customFormat="1" ht="10.5" customHeight="1" x14ac:dyDescent="0.2">
      <c r="A384" s="197">
        <v>22</v>
      </c>
      <c r="B384" s="198" t="s">
        <v>651</v>
      </c>
      <c r="C384" s="184" t="s">
        <v>1</v>
      </c>
      <c r="D384" s="185" t="s">
        <v>59</v>
      </c>
      <c r="E384" s="185" t="s">
        <v>59</v>
      </c>
      <c r="F384" s="186" t="s">
        <v>59</v>
      </c>
      <c r="G384" s="186" t="s">
        <v>59</v>
      </c>
      <c r="H384" s="186"/>
      <c r="I384" s="185"/>
      <c r="J384" s="180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71"/>
      <c r="AB384" s="174" t="str">
        <f t="shared" ref="AB384" si="144">B384</f>
        <v>Julián Malatini (A)</v>
      </c>
    </row>
    <row r="385" spans="1:28" s="113" customFormat="1" ht="10.5" customHeight="1" x14ac:dyDescent="0.2">
      <c r="A385" s="197">
        <v>27</v>
      </c>
      <c r="B385" s="198" t="s">
        <v>364</v>
      </c>
      <c r="C385" s="184" t="s">
        <v>1</v>
      </c>
      <c r="D385" s="185" t="s">
        <v>59</v>
      </c>
      <c r="E385" s="185" t="s">
        <v>59</v>
      </c>
      <c r="F385" s="186" t="s">
        <v>59</v>
      </c>
      <c r="G385" s="186" t="s">
        <v>59</v>
      </c>
      <c r="H385" s="186"/>
      <c r="I385" s="185"/>
      <c r="J385" s="180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71"/>
      <c r="AB385" s="174" t="str">
        <f t="shared" si="143"/>
        <v>Felix Agu</v>
      </c>
    </row>
    <row r="386" spans="1:28" s="113" customFormat="1" ht="10.5" customHeight="1" x14ac:dyDescent="0.2">
      <c r="A386" s="197">
        <v>32</v>
      </c>
      <c r="B386" s="198" t="s">
        <v>365</v>
      </c>
      <c r="C386" s="184" t="s">
        <v>1</v>
      </c>
      <c r="D386" s="185" t="s">
        <v>59</v>
      </c>
      <c r="E386" s="185" t="s">
        <v>59</v>
      </c>
      <c r="F386" s="186" t="s">
        <v>59</v>
      </c>
      <c r="G386" s="186" t="s">
        <v>59</v>
      </c>
      <c r="H386" s="186"/>
      <c r="I386" s="185"/>
      <c r="J386" s="180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  <c r="X386" s="181"/>
      <c r="Y386" s="181"/>
      <c r="Z386" s="171"/>
      <c r="AB386" s="174" t="str">
        <f t="shared" si="143"/>
        <v>Marco Friedl (A)</v>
      </c>
    </row>
    <row r="387" spans="1:28" s="113" customFormat="1" ht="10.5" customHeight="1" x14ac:dyDescent="0.2">
      <c r="A387" s="197">
        <v>36</v>
      </c>
      <c r="B387" s="198" t="s">
        <v>366</v>
      </c>
      <c r="C387" s="184" t="s">
        <v>1</v>
      </c>
      <c r="D387" s="185" t="s">
        <v>59</v>
      </c>
      <c r="E387" s="185" t="s">
        <v>59</v>
      </c>
      <c r="F387" s="186" t="s">
        <v>59</v>
      </c>
      <c r="G387" s="186" t="s">
        <v>59</v>
      </c>
      <c r="H387" s="186"/>
      <c r="I387" s="185"/>
      <c r="J387" s="180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71"/>
      <c r="AB387" s="174" t="str">
        <f t="shared" si="143"/>
        <v>Christian Gross</v>
      </c>
    </row>
    <row r="388" spans="1:28" s="113" customFormat="1" ht="10.5" customHeight="1" x14ac:dyDescent="0.2">
      <c r="A388" s="197">
        <v>40</v>
      </c>
      <c r="B388" s="198" t="s">
        <v>636</v>
      </c>
      <c r="C388" s="184" t="s">
        <v>1</v>
      </c>
      <c r="D388" s="185" t="s">
        <v>59</v>
      </c>
      <c r="E388" s="185" t="s">
        <v>59</v>
      </c>
      <c r="F388" s="186" t="s">
        <v>59</v>
      </c>
      <c r="G388" s="186" t="s">
        <v>59</v>
      </c>
      <c r="H388" s="186"/>
      <c r="I388" s="185"/>
      <c r="J388" s="180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71"/>
      <c r="AB388" s="174" t="str">
        <f t="shared" ref="AB388" si="145">B388</f>
        <v>Cimo Röcker</v>
      </c>
    </row>
    <row r="389" spans="1:28" s="113" customFormat="1" ht="10.5" customHeight="1" x14ac:dyDescent="0.2">
      <c r="A389" s="187">
        <v>6</v>
      </c>
      <c r="B389" s="188" t="s">
        <v>368</v>
      </c>
      <c r="C389" s="189" t="s">
        <v>2</v>
      </c>
      <c r="D389" s="190" t="s">
        <v>59</v>
      </c>
      <c r="E389" s="190" t="s">
        <v>59</v>
      </c>
      <c r="F389" s="191" t="s">
        <v>59</v>
      </c>
      <c r="G389" s="191" t="s">
        <v>59</v>
      </c>
      <c r="H389" s="191"/>
      <c r="I389" s="190"/>
      <c r="J389" s="180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71"/>
      <c r="AB389" s="174" t="str">
        <f t="shared" ref="AB389" si="146">B389</f>
        <v>Jens Stage (A)</v>
      </c>
    </row>
    <row r="390" spans="1:28" s="113" customFormat="1" ht="10.5" customHeight="1" x14ac:dyDescent="0.2">
      <c r="A390" s="187">
        <v>10</v>
      </c>
      <c r="B390" s="188" t="s">
        <v>369</v>
      </c>
      <c r="C390" s="189" t="s">
        <v>2</v>
      </c>
      <c r="D390" s="190" t="s">
        <v>59</v>
      </c>
      <c r="E390" s="190" t="s">
        <v>59</v>
      </c>
      <c r="F390" s="191" t="s">
        <v>59</v>
      </c>
      <c r="G390" s="191" t="s">
        <v>59</v>
      </c>
      <c r="H390" s="191"/>
      <c r="I390" s="190"/>
      <c r="J390" s="180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  <c r="Y390" s="181"/>
      <c r="Z390" s="171"/>
      <c r="AB390" s="174" t="str">
        <f t="shared" ref="AB390:AB392" si="147">B390</f>
        <v>Leonardo Bittencourt</v>
      </c>
    </row>
    <row r="391" spans="1:28" s="113" customFormat="1" ht="10.5" customHeight="1" x14ac:dyDescent="0.2">
      <c r="A391" s="187">
        <v>14</v>
      </c>
      <c r="B391" s="188" t="s">
        <v>465</v>
      </c>
      <c r="C391" s="189" t="s">
        <v>2</v>
      </c>
      <c r="D391" s="190" t="s">
        <v>59</v>
      </c>
      <c r="E391" s="190" t="s">
        <v>59</v>
      </c>
      <c r="F391" s="191" t="s">
        <v>59</v>
      </c>
      <c r="G391" s="191" t="s">
        <v>59</v>
      </c>
      <c r="H391" s="191"/>
      <c r="I391" s="190"/>
      <c r="J391" s="180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  <c r="Y391" s="181"/>
      <c r="Z391" s="171"/>
      <c r="AB391" s="174" t="str">
        <f t="shared" si="147"/>
        <v>Senne Lynen (A)</v>
      </c>
    </row>
    <row r="392" spans="1:28" s="113" customFormat="1" ht="10.5" customHeight="1" x14ac:dyDescent="0.2">
      <c r="A392" s="187">
        <v>18</v>
      </c>
      <c r="B392" s="188" t="s">
        <v>466</v>
      </c>
      <c r="C392" s="189" t="s">
        <v>2</v>
      </c>
      <c r="D392" s="190" t="s">
        <v>59</v>
      </c>
      <c r="E392" s="190" t="s">
        <v>59</v>
      </c>
      <c r="F392" s="191" t="s">
        <v>59</v>
      </c>
      <c r="G392" s="191" t="s">
        <v>59</v>
      </c>
      <c r="H392" s="191"/>
      <c r="I392" s="190"/>
      <c r="J392" s="180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  <c r="X392" s="181"/>
      <c r="Y392" s="181"/>
      <c r="Z392" s="171"/>
      <c r="AB392" s="174" t="str">
        <f t="shared" si="147"/>
        <v>Naby Keita (A)</v>
      </c>
    </row>
    <row r="393" spans="1:28" s="113" customFormat="1" ht="10.5" customHeight="1" x14ac:dyDescent="0.2">
      <c r="A393" s="187">
        <v>20</v>
      </c>
      <c r="B393" s="188" t="s">
        <v>370</v>
      </c>
      <c r="C393" s="189" t="s">
        <v>2</v>
      </c>
      <c r="D393" s="190" t="s">
        <v>59</v>
      </c>
      <c r="E393" s="190" t="s">
        <v>59</v>
      </c>
      <c r="F393" s="191" t="s">
        <v>59</v>
      </c>
      <c r="G393" s="191" t="s">
        <v>59</v>
      </c>
      <c r="H393" s="191"/>
      <c r="I393" s="190"/>
      <c r="J393" s="180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  <c r="Y393" s="181"/>
      <c r="Z393" s="171"/>
      <c r="AB393" s="174" t="str">
        <f t="shared" ref="AB393:AB395" si="148">B393</f>
        <v>Romano Schmid (A)</v>
      </c>
    </row>
    <row r="394" spans="1:28" s="113" customFormat="1" ht="10.5" customHeight="1" x14ac:dyDescent="0.2">
      <c r="A394" s="187">
        <v>21</v>
      </c>
      <c r="B394" s="188" t="s">
        <v>668</v>
      </c>
      <c r="C394" s="189" t="s">
        <v>2</v>
      </c>
      <c r="D394" s="190" t="s">
        <v>59</v>
      </c>
      <c r="E394" s="190" t="s">
        <v>59</v>
      </c>
      <c r="F394" s="191" t="s">
        <v>59</v>
      </c>
      <c r="G394" s="191" t="s">
        <v>59</v>
      </c>
      <c r="H394" s="191"/>
      <c r="I394" s="190"/>
      <c r="J394" s="180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71"/>
      <c r="AB394" s="174" t="str">
        <f t="shared" ref="AB394" si="149">B394</f>
        <v>Isak Hansen-Aarøen (A)</v>
      </c>
    </row>
    <row r="395" spans="1:28" s="113" customFormat="1" ht="10.5" customHeight="1" x14ac:dyDescent="0.2">
      <c r="A395" s="187">
        <v>28</v>
      </c>
      <c r="B395" s="188" t="s">
        <v>669</v>
      </c>
      <c r="C395" s="189" t="s">
        <v>2</v>
      </c>
      <c r="D395" s="190" t="s">
        <v>59</v>
      </c>
      <c r="E395" s="190" t="s">
        <v>59</v>
      </c>
      <c r="F395" s="191" t="s">
        <v>59</v>
      </c>
      <c r="G395" s="191" t="s">
        <v>59</v>
      </c>
      <c r="H395" s="191"/>
      <c r="I395" s="190"/>
      <c r="J395" s="180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71"/>
      <c r="AB395" s="174" t="str">
        <f t="shared" si="148"/>
        <v>Skelly Alvero (A)</v>
      </c>
    </row>
    <row r="396" spans="1:28" s="113" customFormat="1" ht="10.5" customHeight="1" x14ac:dyDescent="0.2">
      <c r="A396" s="187">
        <v>35</v>
      </c>
      <c r="B396" s="188" t="s">
        <v>546</v>
      </c>
      <c r="C396" s="189" t="s">
        <v>2</v>
      </c>
      <c r="D396" s="190" t="s">
        <v>59</v>
      </c>
      <c r="E396" s="190" t="s">
        <v>59</v>
      </c>
      <c r="F396" s="191" t="s">
        <v>59</v>
      </c>
      <c r="G396" s="191" t="s">
        <v>59</v>
      </c>
      <c r="H396" s="191"/>
      <c r="I396" s="190"/>
      <c r="J396" s="180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71"/>
      <c r="AB396" s="174" t="str">
        <f t="shared" ref="AB396" si="150">B396</f>
        <v>Leon Opitz</v>
      </c>
    </row>
    <row r="397" spans="1:28" s="113" customFormat="1" ht="10.5" customHeight="1" x14ac:dyDescent="0.2">
      <c r="A397" s="192">
        <v>7</v>
      </c>
      <c r="B397" s="193" t="s">
        <v>371</v>
      </c>
      <c r="C397" s="194" t="s">
        <v>3</v>
      </c>
      <c r="D397" s="195" t="s">
        <v>59</v>
      </c>
      <c r="E397" s="195" t="s">
        <v>59</v>
      </c>
      <c r="F397" s="196" t="s">
        <v>59</v>
      </c>
      <c r="G397" s="196" t="s">
        <v>59</v>
      </c>
      <c r="H397" s="196"/>
      <c r="I397" s="195"/>
      <c r="J397" s="180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71"/>
      <c r="AB397" s="174" t="str">
        <f t="shared" ref="AB397:AB399" si="151">B397</f>
        <v>Marvin Ducksch</v>
      </c>
    </row>
    <row r="398" spans="1:28" s="113" customFormat="1" ht="10.5" customHeight="1" x14ac:dyDescent="0.2">
      <c r="A398" s="192">
        <v>9</v>
      </c>
      <c r="B398" s="193" t="s">
        <v>467</v>
      </c>
      <c r="C398" s="194" t="s">
        <v>3</v>
      </c>
      <c r="D398" s="195" t="s">
        <v>59</v>
      </c>
      <c r="E398" s="195" t="s">
        <v>59</v>
      </c>
      <c r="F398" s="196" t="s">
        <v>59</v>
      </c>
      <c r="G398" s="196" t="s">
        <v>59</v>
      </c>
      <c r="H398" s="196"/>
      <c r="I398" s="195"/>
      <c r="J398" s="180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71"/>
      <c r="AB398" s="174" t="str">
        <f t="shared" si="151"/>
        <v>Dawid Kownacki (A)</v>
      </c>
    </row>
    <row r="399" spans="1:28" s="113" customFormat="1" ht="10.5" customHeight="1" x14ac:dyDescent="0.2">
      <c r="A399" s="192">
        <v>17</v>
      </c>
      <c r="B399" s="193" t="s">
        <v>468</v>
      </c>
      <c r="C399" s="194" t="s">
        <v>3</v>
      </c>
      <c r="D399" s="195" t="s">
        <v>59</v>
      </c>
      <c r="E399" s="195" t="s">
        <v>59</v>
      </c>
      <c r="F399" s="196" t="s">
        <v>59</v>
      </c>
      <c r="G399" s="196" t="s">
        <v>59</v>
      </c>
      <c r="H399" s="196"/>
      <c r="I399" s="195"/>
      <c r="J399" s="180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71"/>
      <c r="AB399" s="174" t="str">
        <f t="shared" si="151"/>
        <v>Justin Njinmah</v>
      </c>
    </row>
    <row r="400" spans="1:28" s="113" customFormat="1" ht="10.5" customHeight="1" x14ac:dyDescent="0.2">
      <c r="A400" s="192">
        <v>19</v>
      </c>
      <c r="B400" s="193" t="s">
        <v>577</v>
      </c>
      <c r="C400" s="194" t="s">
        <v>3</v>
      </c>
      <c r="D400" s="195" t="s">
        <v>59</v>
      </c>
      <c r="E400" s="195" t="s">
        <v>59</v>
      </c>
      <c r="F400" s="196" t="s">
        <v>59</v>
      </c>
      <c r="G400" s="196" t="s">
        <v>59</v>
      </c>
      <c r="H400" s="196"/>
      <c r="I400" s="195"/>
      <c r="J400" s="180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71"/>
      <c r="AB400" s="174" t="str">
        <f>B400</f>
        <v>Rafael Borré (A)</v>
      </c>
    </row>
    <row r="401" spans="1:28" s="113" customFormat="1" ht="10.5" customHeight="1" x14ac:dyDescent="0.2">
      <c r="A401" s="192">
        <v>29</v>
      </c>
      <c r="B401" s="193" t="s">
        <v>469</v>
      </c>
      <c r="C401" s="194" t="s">
        <v>3</v>
      </c>
      <c r="D401" s="195" t="s">
        <v>59</v>
      </c>
      <c r="E401" s="195" t="s">
        <v>59</v>
      </c>
      <c r="F401" s="196" t="s">
        <v>59</v>
      </c>
      <c r="G401" s="196" t="s">
        <v>59</v>
      </c>
      <c r="H401" s="196"/>
      <c r="I401" s="195"/>
      <c r="J401" s="180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71"/>
      <c r="AB401" s="174" t="str">
        <f t="shared" ref="AB401" si="152">B401</f>
        <v>Nick Woltemade</v>
      </c>
    </row>
    <row r="402" spans="1:28" ht="15" customHeight="1" thickBot="1" x14ac:dyDescent="0.25">
      <c r="A402" s="219" t="s">
        <v>259</v>
      </c>
      <c r="B402" s="219"/>
      <c r="C402" s="219"/>
      <c r="D402" s="219"/>
      <c r="E402" s="219"/>
      <c r="F402" s="219"/>
      <c r="G402" s="219"/>
      <c r="H402" s="219"/>
      <c r="I402" s="219"/>
      <c r="J402" s="10"/>
      <c r="K402" s="175">
        <v>12</v>
      </c>
      <c r="L402" s="175">
        <v>12</v>
      </c>
      <c r="M402" s="175">
        <v>12</v>
      </c>
      <c r="N402" s="175">
        <v>12</v>
      </c>
      <c r="O402" s="175">
        <v>12</v>
      </c>
      <c r="P402" s="175">
        <v>12</v>
      </c>
      <c r="Q402" s="175">
        <v>12</v>
      </c>
      <c r="R402" s="175">
        <v>12</v>
      </c>
      <c r="S402" s="175">
        <v>12</v>
      </c>
      <c r="T402" s="175">
        <v>12</v>
      </c>
      <c r="U402" s="175">
        <v>12</v>
      </c>
      <c r="V402" s="175">
        <v>12</v>
      </c>
      <c r="W402" s="175">
        <v>12</v>
      </c>
      <c r="X402" s="175">
        <v>12</v>
      </c>
      <c r="Y402" s="175">
        <v>12</v>
      </c>
      <c r="Z402" s="216"/>
      <c r="AB402" s="174" t="str">
        <f>A402</f>
        <v>VfL Bochum</v>
      </c>
    </row>
    <row r="403" spans="1:28" s="113" customFormat="1" ht="10.5" customHeight="1" x14ac:dyDescent="0.2">
      <c r="A403" s="176">
        <v>1</v>
      </c>
      <c r="B403" s="177" t="s">
        <v>302</v>
      </c>
      <c r="C403" s="177" t="s">
        <v>0</v>
      </c>
      <c r="D403" s="178" t="s">
        <v>59</v>
      </c>
      <c r="E403" s="178" t="s">
        <v>59</v>
      </c>
      <c r="F403" s="179" t="s">
        <v>59</v>
      </c>
      <c r="G403" s="179" t="s">
        <v>59</v>
      </c>
      <c r="H403" s="179"/>
      <c r="I403" s="178"/>
      <c r="J403" s="180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71"/>
      <c r="AB403" s="174" t="str">
        <f t="shared" ref="AB403" si="153">B403</f>
        <v>Manuel Riemann</v>
      </c>
    </row>
    <row r="404" spans="1:28" s="113" customFormat="1" ht="10.5" customHeight="1" x14ac:dyDescent="0.2">
      <c r="A404" s="176">
        <v>21</v>
      </c>
      <c r="B404" s="177" t="s">
        <v>303</v>
      </c>
      <c r="C404" s="177" t="s">
        <v>0</v>
      </c>
      <c r="D404" s="178" t="s">
        <v>59</v>
      </c>
      <c r="E404" s="178" t="s">
        <v>59</v>
      </c>
      <c r="F404" s="179" t="s">
        <v>59</v>
      </c>
      <c r="G404" s="179" t="s">
        <v>59</v>
      </c>
      <c r="H404" s="179"/>
      <c r="I404" s="178"/>
      <c r="J404" s="180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71"/>
      <c r="AB404" s="174" t="str">
        <f t="shared" ref="AB404:AB405" si="154">B404</f>
        <v>Michael Esser</v>
      </c>
    </row>
    <row r="405" spans="1:28" s="113" customFormat="1" ht="10.5" customHeight="1" x14ac:dyDescent="0.2">
      <c r="A405" s="176">
        <v>23</v>
      </c>
      <c r="B405" s="177" t="s">
        <v>470</v>
      </c>
      <c r="C405" s="177" t="s">
        <v>0</v>
      </c>
      <c r="D405" s="178" t="s">
        <v>59</v>
      </c>
      <c r="E405" s="178" t="s">
        <v>59</v>
      </c>
      <c r="F405" s="179" t="s">
        <v>59</v>
      </c>
      <c r="G405" s="179" t="s">
        <v>59</v>
      </c>
      <c r="H405" s="179"/>
      <c r="I405" s="178"/>
      <c r="J405" s="180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71"/>
      <c r="AB405" s="174" t="str">
        <f t="shared" si="154"/>
        <v>Nicklas Thiede</v>
      </c>
    </row>
    <row r="406" spans="1:28" s="113" customFormat="1" ht="10.5" customHeight="1" x14ac:dyDescent="0.2">
      <c r="A406" s="176">
        <v>26</v>
      </c>
      <c r="B406" s="177" t="s">
        <v>663</v>
      </c>
      <c r="C406" s="177" t="s">
        <v>0</v>
      </c>
      <c r="D406" s="178" t="s">
        <v>59</v>
      </c>
      <c r="E406" s="178" t="s">
        <v>59</v>
      </c>
      <c r="F406" s="179" t="s">
        <v>59</v>
      </c>
      <c r="G406" s="179" t="s">
        <v>59</v>
      </c>
      <c r="H406" s="179"/>
      <c r="I406" s="178"/>
      <c r="J406" s="180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71"/>
      <c r="AB406" s="174" t="str">
        <f t="shared" ref="AB406" si="155">B406</f>
        <v>Andreas Luthe</v>
      </c>
    </row>
    <row r="407" spans="1:28" s="113" customFormat="1" ht="10.5" customHeight="1" x14ac:dyDescent="0.2">
      <c r="A407" s="197">
        <v>2</v>
      </c>
      <c r="B407" s="198" t="s">
        <v>300</v>
      </c>
      <c r="C407" s="184" t="s">
        <v>1</v>
      </c>
      <c r="D407" s="185" t="s">
        <v>59</v>
      </c>
      <c r="E407" s="185" t="s">
        <v>59</v>
      </c>
      <c r="F407" s="186" t="s">
        <v>59</v>
      </c>
      <c r="G407" s="186" t="s">
        <v>59</v>
      </c>
      <c r="H407" s="186"/>
      <c r="I407" s="185"/>
      <c r="J407" s="180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71"/>
      <c r="AB407" s="174" t="str">
        <f t="shared" ref="AB407" si="156">B407</f>
        <v>Cristian Gamboa (A)</v>
      </c>
    </row>
    <row r="408" spans="1:28" s="113" customFormat="1" ht="10.5" customHeight="1" x14ac:dyDescent="0.2">
      <c r="A408" s="197">
        <v>3</v>
      </c>
      <c r="B408" s="198" t="s">
        <v>547</v>
      </c>
      <c r="C408" s="184" t="s">
        <v>1</v>
      </c>
      <c r="D408" s="185" t="s">
        <v>59</v>
      </c>
      <c r="E408" s="185" t="s">
        <v>59</v>
      </c>
      <c r="F408" s="186" t="s">
        <v>59</v>
      </c>
      <c r="G408" s="186" t="s">
        <v>59</v>
      </c>
      <c r="H408" s="186"/>
      <c r="I408" s="185"/>
      <c r="J408" s="180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71"/>
      <c r="AB408" s="174" t="str">
        <f>B408</f>
        <v>Danilo Soares (A)</v>
      </c>
    </row>
    <row r="409" spans="1:28" s="113" customFormat="1" ht="10.5" customHeight="1" x14ac:dyDescent="0.2">
      <c r="A409" s="197">
        <v>4</v>
      </c>
      <c r="B409" s="198" t="s">
        <v>595</v>
      </c>
      <c r="C409" s="184" t="s">
        <v>1</v>
      </c>
      <c r="D409" s="185" t="s">
        <v>59</v>
      </c>
      <c r="E409" s="185" t="s">
        <v>59</v>
      </c>
      <c r="F409" s="186" t="s">
        <v>59</v>
      </c>
      <c r="G409" s="186" t="s">
        <v>59</v>
      </c>
      <c r="H409" s="186"/>
      <c r="I409" s="185"/>
      <c r="J409" s="180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71"/>
      <c r="AB409" s="174" t="str">
        <f>B409</f>
        <v>Erhan Mašović (A)</v>
      </c>
    </row>
    <row r="410" spans="1:28" s="113" customFormat="1" ht="10.5" customHeight="1" x14ac:dyDescent="0.2">
      <c r="A410" s="197">
        <v>5</v>
      </c>
      <c r="B410" s="198" t="s">
        <v>472</v>
      </c>
      <c r="C410" s="184" t="s">
        <v>1</v>
      </c>
      <c r="D410" s="185" t="s">
        <v>59</v>
      </c>
      <c r="E410" s="185" t="s">
        <v>59</v>
      </c>
      <c r="F410" s="186" t="s">
        <v>59</v>
      </c>
      <c r="G410" s="186" t="s">
        <v>59</v>
      </c>
      <c r="H410" s="186"/>
      <c r="I410" s="185"/>
      <c r="J410" s="180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71"/>
      <c r="AB410" s="174" t="str">
        <f t="shared" ref="AB410:AB411" si="157">B410</f>
        <v>Bernardo (A)</v>
      </c>
    </row>
    <row r="411" spans="1:28" s="113" customFormat="1" ht="10.5" customHeight="1" x14ac:dyDescent="0.2">
      <c r="A411" s="197">
        <v>14</v>
      </c>
      <c r="B411" s="198" t="s">
        <v>552</v>
      </c>
      <c r="C411" s="184" t="s">
        <v>1</v>
      </c>
      <c r="D411" s="185" t="s">
        <v>59</v>
      </c>
      <c r="E411" s="185" t="s">
        <v>59</v>
      </c>
      <c r="F411" s="186" t="s">
        <v>59</v>
      </c>
      <c r="G411" s="186" t="s">
        <v>59</v>
      </c>
      <c r="H411" s="186"/>
      <c r="I411" s="185"/>
      <c r="J411" s="180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71"/>
      <c r="AB411" s="174" t="str">
        <f t="shared" si="157"/>
        <v>Tim Oermann</v>
      </c>
    </row>
    <row r="412" spans="1:28" s="113" customFormat="1" ht="10.5" customHeight="1" x14ac:dyDescent="0.2">
      <c r="A412" s="197">
        <v>15</v>
      </c>
      <c r="B412" s="198" t="s">
        <v>473</v>
      </c>
      <c r="C412" s="184" t="s">
        <v>1</v>
      </c>
      <c r="D412" s="185" t="s">
        <v>59</v>
      </c>
      <c r="E412" s="185" t="s">
        <v>59</v>
      </c>
      <c r="F412" s="186" t="s">
        <v>59</v>
      </c>
      <c r="G412" s="186" t="s">
        <v>59</v>
      </c>
      <c r="H412" s="186"/>
      <c r="I412" s="185"/>
      <c r="J412" s="180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71"/>
      <c r="AB412" s="174" t="str">
        <f t="shared" ref="AB412" si="158">B412</f>
        <v>Felix Passlack</v>
      </c>
    </row>
    <row r="413" spans="1:28" s="113" customFormat="1" ht="10.5" customHeight="1" x14ac:dyDescent="0.2">
      <c r="A413" s="197">
        <v>20</v>
      </c>
      <c r="B413" s="198" t="s">
        <v>353</v>
      </c>
      <c r="C413" s="184" t="s">
        <v>1</v>
      </c>
      <c r="D413" s="185" t="s">
        <v>59</v>
      </c>
      <c r="E413" s="185" t="s">
        <v>59</v>
      </c>
      <c r="F413" s="186" t="s">
        <v>59</v>
      </c>
      <c r="G413" s="186" t="s">
        <v>59</v>
      </c>
      <c r="H413" s="186"/>
      <c r="I413" s="185"/>
      <c r="J413" s="180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71"/>
      <c r="AB413" s="174" t="str">
        <f t="shared" ref="AB413:AB418" si="159">B413</f>
        <v>Ivan Ordets (A)</v>
      </c>
    </row>
    <row r="414" spans="1:28" s="113" customFormat="1" ht="10.5" customHeight="1" x14ac:dyDescent="0.2">
      <c r="A414" s="197">
        <v>25</v>
      </c>
      <c r="B414" s="198" t="s">
        <v>354</v>
      </c>
      <c r="C414" s="184" t="s">
        <v>1</v>
      </c>
      <c r="D414" s="185" t="s">
        <v>59</v>
      </c>
      <c r="E414" s="185" t="s">
        <v>59</v>
      </c>
      <c r="F414" s="186" t="s">
        <v>59</v>
      </c>
      <c r="G414" s="186" t="s">
        <v>59</v>
      </c>
      <c r="H414" s="186"/>
      <c r="I414" s="185"/>
      <c r="J414" s="180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71"/>
      <c r="AB414" s="174" t="str">
        <f t="shared" si="159"/>
        <v>Mohammed Tolba</v>
      </c>
    </row>
    <row r="415" spans="1:28" s="113" customFormat="1" ht="10.5" customHeight="1" x14ac:dyDescent="0.2">
      <c r="A415" s="197">
        <v>30</v>
      </c>
      <c r="B415" s="198" t="s">
        <v>548</v>
      </c>
      <c r="C415" s="184" t="s">
        <v>1</v>
      </c>
      <c r="D415" s="185" t="s">
        <v>59</v>
      </c>
      <c r="E415" s="185" t="s">
        <v>59</v>
      </c>
      <c r="F415" s="186" t="s">
        <v>59</v>
      </c>
      <c r="G415" s="186" t="s">
        <v>59</v>
      </c>
      <c r="H415" s="186"/>
      <c r="I415" s="185"/>
      <c r="J415" s="180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71"/>
      <c r="AB415" s="174" t="str">
        <f t="shared" si="159"/>
        <v>Moritz Römling</v>
      </c>
    </row>
    <row r="416" spans="1:28" s="113" customFormat="1" ht="10.5" customHeight="1" x14ac:dyDescent="0.2">
      <c r="A416" s="197">
        <v>31</v>
      </c>
      <c r="B416" s="198" t="s">
        <v>169</v>
      </c>
      <c r="C416" s="184" t="s">
        <v>1</v>
      </c>
      <c r="D416" s="185" t="s">
        <v>59</v>
      </c>
      <c r="E416" s="185" t="s">
        <v>59</v>
      </c>
      <c r="F416" s="186" t="s">
        <v>59</v>
      </c>
      <c r="G416" s="186" t="s">
        <v>59</v>
      </c>
      <c r="H416" s="186"/>
      <c r="I416" s="185"/>
      <c r="J416" s="180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71"/>
      <c r="AB416" s="174" t="str">
        <f t="shared" si="159"/>
        <v>Keven Schlotterbeck</v>
      </c>
    </row>
    <row r="417" spans="1:28" s="113" customFormat="1" ht="10.5" customHeight="1" x14ac:dyDescent="0.2">
      <c r="A417" s="197">
        <v>32</v>
      </c>
      <c r="B417" s="198" t="s">
        <v>553</v>
      </c>
      <c r="C417" s="184" t="s">
        <v>1</v>
      </c>
      <c r="D417" s="185" t="s">
        <v>59</v>
      </c>
      <c r="E417" s="185" t="s">
        <v>59</v>
      </c>
      <c r="F417" s="186" t="s">
        <v>59</v>
      </c>
      <c r="G417" s="186" t="s">
        <v>59</v>
      </c>
      <c r="H417" s="186"/>
      <c r="I417" s="185"/>
      <c r="J417" s="180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71"/>
      <c r="AB417" s="174" t="str">
        <f t="shared" ref="AB417" si="160">B417</f>
        <v>Maximilian Wittek</v>
      </c>
    </row>
    <row r="418" spans="1:28" s="113" customFormat="1" ht="10.5" customHeight="1" x14ac:dyDescent="0.2">
      <c r="A418" s="197">
        <v>41</v>
      </c>
      <c r="B418" s="198" t="s">
        <v>471</v>
      </c>
      <c r="C418" s="184" t="s">
        <v>1</v>
      </c>
      <c r="D418" s="185" t="s">
        <v>59</v>
      </c>
      <c r="E418" s="185" t="s">
        <v>59</v>
      </c>
      <c r="F418" s="186" t="s">
        <v>59</v>
      </c>
      <c r="G418" s="186" t="s">
        <v>59</v>
      </c>
      <c r="H418" s="186"/>
      <c r="I418" s="185"/>
      <c r="J418" s="180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71"/>
      <c r="AB418" s="174" t="str">
        <f t="shared" si="159"/>
        <v>Noah Loosli (A)</v>
      </c>
    </row>
    <row r="419" spans="1:28" s="113" customFormat="1" ht="10.5" customHeight="1" x14ac:dyDescent="0.2">
      <c r="A419" s="199">
        <v>6</v>
      </c>
      <c r="B419" s="189" t="s">
        <v>297</v>
      </c>
      <c r="C419" s="189" t="s">
        <v>2</v>
      </c>
      <c r="D419" s="190" t="s">
        <v>59</v>
      </c>
      <c r="E419" s="190" t="s">
        <v>59</v>
      </c>
      <c r="F419" s="191" t="s">
        <v>59</v>
      </c>
      <c r="G419" s="191" t="s">
        <v>59</v>
      </c>
      <c r="H419" s="191"/>
      <c r="I419" s="190"/>
      <c r="J419" s="180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71"/>
      <c r="AB419" s="174" t="str">
        <f t="shared" ref="AB419" si="161">B419</f>
        <v>Patrick Osterhage</v>
      </c>
    </row>
    <row r="420" spans="1:28" s="113" customFormat="1" ht="10.5" customHeight="1" x14ac:dyDescent="0.2">
      <c r="A420" s="199">
        <v>7</v>
      </c>
      <c r="B420" s="189" t="s">
        <v>252</v>
      </c>
      <c r="C420" s="189" t="s">
        <v>2</v>
      </c>
      <c r="D420" s="190" t="s">
        <v>59</v>
      </c>
      <c r="E420" s="190" t="s">
        <v>59</v>
      </c>
      <c r="F420" s="191" t="s">
        <v>59</v>
      </c>
      <c r="G420" s="191" t="s">
        <v>59</v>
      </c>
      <c r="H420" s="191"/>
      <c r="I420" s="190"/>
      <c r="J420" s="180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71"/>
      <c r="AB420" s="174" t="str">
        <f t="shared" ref="AB420:AB422" si="162">B420</f>
        <v>Kevin Stöger (A)</v>
      </c>
    </row>
    <row r="421" spans="1:28" s="113" customFormat="1" ht="10.5" customHeight="1" x14ac:dyDescent="0.2">
      <c r="A421" s="199">
        <v>8</v>
      </c>
      <c r="B421" s="189" t="s">
        <v>298</v>
      </c>
      <c r="C421" s="189" t="s">
        <v>2</v>
      </c>
      <c r="D421" s="190" t="s">
        <v>59</v>
      </c>
      <c r="E421" s="190" t="s">
        <v>59</v>
      </c>
      <c r="F421" s="191" t="s">
        <v>59</v>
      </c>
      <c r="G421" s="191" t="s">
        <v>59</v>
      </c>
      <c r="H421" s="191"/>
      <c r="I421" s="190"/>
      <c r="J421" s="180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71"/>
      <c r="AB421" s="174" t="str">
        <f t="shared" si="162"/>
        <v>Anthony Losilia (A)</v>
      </c>
    </row>
    <row r="422" spans="1:28" s="113" customFormat="1" ht="10.5" customHeight="1" x14ac:dyDescent="0.2">
      <c r="A422" s="199">
        <v>10</v>
      </c>
      <c r="B422" s="189" t="s">
        <v>244</v>
      </c>
      <c r="C422" s="189" t="s">
        <v>2</v>
      </c>
      <c r="D422" s="190" t="s">
        <v>59</v>
      </c>
      <c r="E422" s="190" t="s">
        <v>59</v>
      </c>
      <c r="F422" s="191" t="s">
        <v>59</v>
      </c>
      <c r="G422" s="191" t="s">
        <v>59</v>
      </c>
      <c r="H422" s="191"/>
      <c r="I422" s="190"/>
      <c r="J422" s="180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71"/>
      <c r="AB422" s="174" t="str">
        <f t="shared" si="162"/>
        <v>Philipp Förster</v>
      </c>
    </row>
    <row r="423" spans="1:28" s="113" customFormat="1" ht="10.5" customHeight="1" x14ac:dyDescent="0.2">
      <c r="A423" s="199">
        <v>13</v>
      </c>
      <c r="B423" s="189" t="s">
        <v>474</v>
      </c>
      <c r="C423" s="189" t="s">
        <v>2</v>
      </c>
      <c r="D423" s="190" t="s">
        <v>59</v>
      </c>
      <c r="E423" s="190" t="s">
        <v>59</v>
      </c>
      <c r="F423" s="191" t="s">
        <v>59</v>
      </c>
      <c r="G423" s="191" t="s">
        <v>59</v>
      </c>
      <c r="H423" s="191"/>
      <c r="I423" s="190"/>
      <c r="J423" s="180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71"/>
      <c r="AB423" s="174" t="str">
        <f t="shared" ref="AB423:AB425" si="163">B423</f>
        <v>Lukas Daschner</v>
      </c>
    </row>
    <row r="424" spans="1:28" s="113" customFormat="1" ht="10.5" customHeight="1" x14ac:dyDescent="0.2">
      <c r="A424" s="199">
        <v>17</v>
      </c>
      <c r="B424" s="189" t="s">
        <v>670</v>
      </c>
      <c r="C424" s="189" t="s">
        <v>2</v>
      </c>
      <c r="D424" s="190" t="s">
        <v>59</v>
      </c>
      <c r="E424" s="190" t="s">
        <v>59</v>
      </c>
      <c r="F424" s="191" t="s">
        <v>59</v>
      </c>
      <c r="G424" s="191" t="s">
        <v>59</v>
      </c>
      <c r="H424" s="191"/>
      <c r="I424" s="190"/>
      <c r="J424" s="180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71"/>
      <c r="AB424" s="174" t="str">
        <f>B424</f>
        <v>Agon Elezi (A)</v>
      </c>
    </row>
    <row r="425" spans="1:28" s="113" customFormat="1" ht="10.5" customHeight="1" x14ac:dyDescent="0.2">
      <c r="A425" s="199">
        <v>19</v>
      </c>
      <c r="B425" s="189" t="s">
        <v>596</v>
      </c>
      <c r="C425" s="189" t="s">
        <v>2</v>
      </c>
      <c r="D425" s="190" t="s">
        <v>59</v>
      </c>
      <c r="E425" s="190" t="s">
        <v>59</v>
      </c>
      <c r="F425" s="191" t="s">
        <v>59</v>
      </c>
      <c r="G425" s="191" t="s">
        <v>59</v>
      </c>
      <c r="H425" s="191"/>
      <c r="I425" s="190"/>
      <c r="J425" s="180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71"/>
      <c r="AB425" s="174" t="str">
        <f t="shared" si="163"/>
        <v>Matúš Bero (A)</v>
      </c>
    </row>
    <row r="426" spans="1:28" s="113" customFormat="1" ht="10.5" customHeight="1" x14ac:dyDescent="0.2">
      <c r="A426" s="199">
        <v>27</v>
      </c>
      <c r="B426" s="189" t="s">
        <v>475</v>
      </c>
      <c r="C426" s="189" t="s">
        <v>2</v>
      </c>
      <c r="D426" s="190" t="s">
        <v>59</v>
      </c>
      <c r="E426" s="190" t="s">
        <v>59</v>
      </c>
      <c r="F426" s="191" t="s">
        <v>59</v>
      </c>
      <c r="G426" s="191" t="s">
        <v>59</v>
      </c>
      <c r="H426" s="191"/>
      <c r="I426" s="190"/>
      <c r="J426" s="180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71"/>
      <c r="AB426" s="174" t="str">
        <f t="shared" ref="AB426" si="164">B426</f>
        <v>Moritz Kwarteng</v>
      </c>
    </row>
    <row r="427" spans="1:28" s="113" customFormat="1" ht="10.5" customHeight="1" x14ac:dyDescent="0.2">
      <c r="A427" s="200">
        <v>9</v>
      </c>
      <c r="B427" s="194" t="s">
        <v>611</v>
      </c>
      <c r="C427" s="194" t="s">
        <v>3</v>
      </c>
      <c r="D427" s="195" t="s">
        <v>59</v>
      </c>
      <c r="E427" s="195" t="s">
        <v>59</v>
      </c>
      <c r="F427" s="196" t="s">
        <v>59</v>
      </c>
      <c r="G427" s="196" t="s">
        <v>59</v>
      </c>
      <c r="H427" s="196"/>
      <c r="I427" s="195"/>
      <c r="J427" s="180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71"/>
      <c r="AB427" s="174" t="str">
        <f t="shared" ref="AB427" si="165">B427</f>
        <v>Gonçalo Paciênca (A)</v>
      </c>
    </row>
    <row r="428" spans="1:28" s="113" customFormat="1" ht="10.5" customHeight="1" x14ac:dyDescent="0.2">
      <c r="A428" s="200">
        <v>11</v>
      </c>
      <c r="B428" s="194" t="s">
        <v>296</v>
      </c>
      <c r="C428" s="194" t="s">
        <v>3</v>
      </c>
      <c r="D428" s="195" t="s">
        <v>59</v>
      </c>
      <c r="E428" s="195" t="s">
        <v>59</v>
      </c>
      <c r="F428" s="196" t="s">
        <v>59</v>
      </c>
      <c r="G428" s="196" t="s">
        <v>59</v>
      </c>
      <c r="H428" s="196"/>
      <c r="I428" s="195"/>
      <c r="J428" s="180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71"/>
      <c r="AB428" s="174" t="str">
        <f t="shared" ref="AB428:AB431" si="166">B428</f>
        <v>Takuma Asano (A)</v>
      </c>
    </row>
    <row r="429" spans="1:28" s="113" customFormat="1" ht="10.5" customHeight="1" x14ac:dyDescent="0.2">
      <c r="A429" s="200">
        <v>22</v>
      </c>
      <c r="B429" s="194" t="s">
        <v>299</v>
      </c>
      <c r="C429" s="194" t="s">
        <v>3</v>
      </c>
      <c r="D429" s="195" t="s">
        <v>59</v>
      </c>
      <c r="E429" s="195" t="s">
        <v>59</v>
      </c>
      <c r="F429" s="196" t="s">
        <v>59</v>
      </c>
      <c r="G429" s="196" t="s">
        <v>59</v>
      </c>
      <c r="H429" s="196"/>
      <c r="I429" s="195"/>
      <c r="J429" s="180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71"/>
      <c r="AB429" s="174" t="str">
        <f t="shared" si="166"/>
        <v>Christopher Antwi-Adjei</v>
      </c>
    </row>
    <row r="430" spans="1:28" s="113" customFormat="1" ht="10.5" customHeight="1" x14ac:dyDescent="0.2">
      <c r="A430" s="200">
        <v>29</v>
      </c>
      <c r="B430" s="194" t="s">
        <v>389</v>
      </c>
      <c r="C430" s="194" t="s">
        <v>3</v>
      </c>
      <c r="D430" s="195" t="s">
        <v>59</v>
      </c>
      <c r="E430" s="195" t="s">
        <v>59</v>
      </c>
      <c r="F430" s="196" t="s">
        <v>59</v>
      </c>
      <c r="G430" s="196" t="s">
        <v>59</v>
      </c>
      <c r="H430" s="196"/>
      <c r="I430" s="195"/>
      <c r="J430" s="180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71"/>
      <c r="AB430" s="174" t="str">
        <f t="shared" ref="AB430" si="167">B430</f>
        <v>Moritz Broschinski</v>
      </c>
    </row>
    <row r="431" spans="1:28" s="113" customFormat="1" ht="10.5" customHeight="1" x14ac:dyDescent="0.2">
      <c r="A431" s="200">
        <v>33</v>
      </c>
      <c r="B431" s="194" t="s">
        <v>355</v>
      </c>
      <c r="C431" s="194" t="s">
        <v>3</v>
      </c>
      <c r="D431" s="195" t="s">
        <v>59</v>
      </c>
      <c r="E431" s="195" t="s">
        <v>59</v>
      </c>
      <c r="F431" s="196" t="s">
        <v>59</v>
      </c>
      <c r="G431" s="196" t="s">
        <v>59</v>
      </c>
      <c r="H431" s="196"/>
      <c r="I431" s="195"/>
      <c r="J431" s="180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71"/>
      <c r="AB431" s="174" t="str">
        <f t="shared" si="166"/>
        <v>Philipp Hofmann</v>
      </c>
    </row>
    <row r="432" spans="1:28" ht="15" customHeight="1" thickBot="1" x14ac:dyDescent="0.25">
      <c r="A432" s="218" t="s">
        <v>97</v>
      </c>
      <c r="B432" s="218"/>
      <c r="C432" s="218"/>
      <c r="D432" s="218"/>
      <c r="E432" s="218"/>
      <c r="F432" s="218"/>
      <c r="G432" s="218"/>
      <c r="H432" s="218"/>
      <c r="I432" s="218"/>
      <c r="J432" s="10"/>
      <c r="K432" s="175">
        <v>12</v>
      </c>
      <c r="L432" s="175">
        <v>12</v>
      </c>
      <c r="M432" s="175">
        <v>12</v>
      </c>
      <c r="N432" s="175">
        <v>12</v>
      </c>
      <c r="O432" s="175">
        <v>12</v>
      </c>
      <c r="P432" s="175">
        <v>12</v>
      </c>
      <c r="Q432" s="175">
        <v>12</v>
      </c>
      <c r="R432" s="175">
        <v>12</v>
      </c>
      <c r="S432" s="175">
        <v>12</v>
      </c>
      <c r="T432" s="175">
        <v>12</v>
      </c>
      <c r="U432" s="175">
        <v>12</v>
      </c>
      <c r="V432" s="175">
        <v>12</v>
      </c>
      <c r="W432" s="175">
        <v>12</v>
      </c>
      <c r="X432" s="175">
        <v>12</v>
      </c>
      <c r="Y432" s="175">
        <v>12</v>
      </c>
      <c r="Z432" s="216"/>
      <c r="AB432" s="174" t="str">
        <f>A432</f>
        <v xml:space="preserve">FC Augsburg </v>
      </c>
    </row>
    <row r="433" spans="1:28" ht="10.5" customHeight="1" x14ac:dyDescent="0.2">
      <c r="A433" s="176">
        <v>1</v>
      </c>
      <c r="B433" s="177" t="s">
        <v>194</v>
      </c>
      <c r="C433" s="177" t="s">
        <v>0</v>
      </c>
      <c r="D433" s="178" t="s">
        <v>59</v>
      </c>
      <c r="E433" s="178" t="s">
        <v>59</v>
      </c>
      <c r="F433" s="179" t="s">
        <v>59</v>
      </c>
      <c r="G433" s="179" t="s">
        <v>59</v>
      </c>
      <c r="H433" s="179"/>
      <c r="I433" s="178"/>
      <c r="J433" s="180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AB433" s="174" t="str">
        <f t="shared" ref="AB433" si="168">B433</f>
        <v>Finn Dahmen</v>
      </c>
    </row>
    <row r="434" spans="1:28" ht="10.5" customHeight="1" x14ac:dyDescent="0.2">
      <c r="A434" s="176">
        <v>33</v>
      </c>
      <c r="B434" s="177" t="s">
        <v>476</v>
      </c>
      <c r="C434" s="177" t="s">
        <v>0</v>
      </c>
      <c r="D434" s="178" t="s">
        <v>59</v>
      </c>
      <c r="E434" s="178" t="s">
        <v>59</v>
      </c>
      <c r="F434" s="179" t="s">
        <v>59</v>
      </c>
      <c r="G434" s="179" t="s">
        <v>59</v>
      </c>
      <c r="H434" s="179"/>
      <c r="I434" s="178"/>
      <c r="J434" s="180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AB434" s="174" t="str">
        <f t="shared" ref="AB434:AB435" si="169">B434</f>
        <v>Marcel Lubik (A)</v>
      </c>
    </row>
    <row r="435" spans="1:28" ht="10.5" customHeight="1" x14ac:dyDescent="0.2">
      <c r="A435" s="176">
        <v>40</v>
      </c>
      <c r="B435" s="177" t="s">
        <v>593</v>
      </c>
      <c r="C435" s="177" t="s">
        <v>0</v>
      </c>
      <c r="D435" s="178" t="s">
        <v>59</v>
      </c>
      <c r="E435" s="178" t="s">
        <v>59</v>
      </c>
      <c r="F435" s="179" t="s">
        <v>59</v>
      </c>
      <c r="G435" s="179" t="s">
        <v>59</v>
      </c>
      <c r="H435" s="179"/>
      <c r="I435" s="178"/>
      <c r="J435" s="180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AB435" s="174" t="str">
        <f t="shared" si="169"/>
        <v>Tomáš Koubek (A)</v>
      </c>
    </row>
    <row r="436" spans="1:28" ht="10.5" customHeight="1" x14ac:dyDescent="0.2">
      <c r="A436" s="197">
        <v>2</v>
      </c>
      <c r="B436" s="198" t="s">
        <v>235</v>
      </c>
      <c r="C436" s="184" t="s">
        <v>1</v>
      </c>
      <c r="D436" s="185" t="s">
        <v>59</v>
      </c>
      <c r="E436" s="185" t="s">
        <v>59</v>
      </c>
      <c r="F436" s="186" t="s">
        <v>59</v>
      </c>
      <c r="G436" s="186" t="s">
        <v>59</v>
      </c>
      <c r="H436" s="186"/>
      <c r="I436" s="185"/>
      <c r="J436" s="180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  <c r="Y436" s="181"/>
      <c r="AB436" s="174" t="str">
        <f t="shared" ref="AB436" si="170">B436</f>
        <v>Robert Gumny (A)</v>
      </c>
    </row>
    <row r="437" spans="1:28" ht="10.5" customHeight="1" x14ac:dyDescent="0.2">
      <c r="A437" s="197">
        <v>3</v>
      </c>
      <c r="B437" s="198" t="s">
        <v>311</v>
      </c>
      <c r="C437" s="184" t="s">
        <v>1</v>
      </c>
      <c r="D437" s="185" t="s">
        <v>59</v>
      </c>
      <c r="E437" s="185" t="s">
        <v>59</v>
      </c>
      <c r="F437" s="186" t="s">
        <v>59</v>
      </c>
      <c r="G437" s="186" t="s">
        <v>59</v>
      </c>
      <c r="H437" s="186"/>
      <c r="I437" s="185"/>
      <c r="J437" s="180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  <c r="Y437" s="181"/>
      <c r="AB437" s="174" t="str">
        <f t="shared" ref="AB437:AB439" si="171">B437</f>
        <v>Mads Pedersen (A)</v>
      </c>
    </row>
    <row r="438" spans="1:28" ht="10.5" customHeight="1" x14ac:dyDescent="0.2">
      <c r="A438" s="197">
        <v>4</v>
      </c>
      <c r="B438" s="198" t="s">
        <v>200</v>
      </c>
      <c r="C438" s="184" t="s">
        <v>1</v>
      </c>
      <c r="D438" s="185" t="s">
        <v>59</v>
      </c>
      <c r="E438" s="185" t="s">
        <v>59</v>
      </c>
      <c r="F438" s="186" t="s">
        <v>59</v>
      </c>
      <c r="G438" s="186" t="s">
        <v>59</v>
      </c>
      <c r="H438" s="186"/>
      <c r="I438" s="185"/>
      <c r="J438" s="180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AB438" s="174" t="str">
        <f t="shared" si="171"/>
        <v>Reece Oxford (A)</v>
      </c>
    </row>
    <row r="439" spans="1:28" ht="10.5" customHeight="1" x14ac:dyDescent="0.2">
      <c r="A439" s="197">
        <v>5</v>
      </c>
      <c r="B439" s="198" t="s">
        <v>477</v>
      </c>
      <c r="C439" s="184" t="s">
        <v>1</v>
      </c>
      <c r="D439" s="185" t="s">
        <v>59</v>
      </c>
      <c r="E439" s="185" t="s">
        <v>59</v>
      </c>
      <c r="F439" s="186" t="s">
        <v>59</v>
      </c>
      <c r="G439" s="186" t="s">
        <v>59</v>
      </c>
      <c r="H439" s="186"/>
      <c r="I439" s="185"/>
      <c r="J439" s="180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AB439" s="174" t="str">
        <f t="shared" si="171"/>
        <v>Patric Pfeiffer</v>
      </c>
    </row>
    <row r="440" spans="1:28" ht="10.5" customHeight="1" x14ac:dyDescent="0.2">
      <c r="A440" s="197">
        <v>6</v>
      </c>
      <c r="B440" s="198" t="s">
        <v>150</v>
      </c>
      <c r="C440" s="184" t="s">
        <v>1</v>
      </c>
      <c r="D440" s="185" t="s">
        <v>59</v>
      </c>
      <c r="E440" s="185" t="s">
        <v>59</v>
      </c>
      <c r="F440" s="186" t="s">
        <v>59</v>
      </c>
      <c r="G440" s="186" t="s">
        <v>59</v>
      </c>
      <c r="H440" s="186"/>
      <c r="I440" s="185"/>
      <c r="J440" s="180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AB440" s="174" t="str">
        <f t="shared" ref="AB440" si="172">B440</f>
        <v>Jeffrey Gouweleeuw (A)</v>
      </c>
    </row>
    <row r="441" spans="1:28" ht="10.5" customHeight="1" x14ac:dyDescent="0.2">
      <c r="A441" s="197">
        <v>19</v>
      </c>
      <c r="B441" s="198" t="s">
        <v>188</v>
      </c>
      <c r="C441" s="184" t="s">
        <v>1</v>
      </c>
      <c r="D441" s="185" t="s">
        <v>59</v>
      </c>
      <c r="E441" s="185" t="s">
        <v>59</v>
      </c>
      <c r="F441" s="186" t="s">
        <v>59</v>
      </c>
      <c r="G441" s="186" t="s">
        <v>59</v>
      </c>
      <c r="H441" s="186"/>
      <c r="I441" s="185"/>
      <c r="J441" s="180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81"/>
      <c r="AB441" s="174" t="str">
        <f t="shared" ref="AB441:AB444" si="173">B441</f>
        <v>Felix Uduokhai</v>
      </c>
    </row>
    <row r="442" spans="1:28" ht="10.5" customHeight="1" x14ac:dyDescent="0.2">
      <c r="A442" s="197">
        <v>22</v>
      </c>
      <c r="B442" s="198" t="s">
        <v>199</v>
      </c>
      <c r="C442" s="184" t="s">
        <v>1</v>
      </c>
      <c r="D442" s="185" t="s">
        <v>59</v>
      </c>
      <c r="E442" s="185" t="s">
        <v>59</v>
      </c>
      <c r="F442" s="186" t="s">
        <v>59</v>
      </c>
      <c r="G442" s="186" t="s">
        <v>59</v>
      </c>
      <c r="H442" s="186"/>
      <c r="I442" s="185"/>
      <c r="J442" s="180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AB442" s="174" t="str">
        <f t="shared" si="173"/>
        <v>Iago (A)</v>
      </c>
    </row>
    <row r="443" spans="1:28" ht="10.5" customHeight="1" x14ac:dyDescent="0.2">
      <c r="A443" s="197">
        <v>23</v>
      </c>
      <c r="B443" s="198" t="s">
        <v>304</v>
      </c>
      <c r="C443" s="184" t="s">
        <v>1</v>
      </c>
      <c r="D443" s="185" t="s">
        <v>59</v>
      </c>
      <c r="E443" s="185" t="s">
        <v>59</v>
      </c>
      <c r="F443" s="186" t="s">
        <v>59</v>
      </c>
      <c r="G443" s="186" t="s">
        <v>59</v>
      </c>
      <c r="H443" s="186"/>
      <c r="I443" s="185"/>
      <c r="J443" s="180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  <c r="X443" s="181"/>
      <c r="Y443" s="181"/>
      <c r="AB443" s="174" t="str">
        <f t="shared" si="173"/>
        <v>Maximilian Bauer</v>
      </c>
    </row>
    <row r="444" spans="1:28" ht="10.5" customHeight="1" x14ac:dyDescent="0.2">
      <c r="A444" s="197">
        <v>32</v>
      </c>
      <c r="B444" s="198" t="s">
        <v>478</v>
      </c>
      <c r="C444" s="184" t="s">
        <v>1</v>
      </c>
      <c r="D444" s="185" t="s">
        <v>59</v>
      </c>
      <c r="E444" s="185" t="s">
        <v>59</v>
      </c>
      <c r="F444" s="186" t="s">
        <v>59</v>
      </c>
      <c r="G444" s="186" t="s">
        <v>59</v>
      </c>
      <c r="H444" s="186"/>
      <c r="I444" s="185"/>
      <c r="J444" s="180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  <c r="X444" s="181"/>
      <c r="Y444" s="181"/>
      <c r="AB444" s="174" t="str">
        <f t="shared" si="173"/>
        <v>Raphael Framberger</v>
      </c>
    </row>
    <row r="445" spans="1:28" ht="10.5" customHeight="1" x14ac:dyDescent="0.2">
      <c r="A445" s="197">
        <v>43</v>
      </c>
      <c r="B445" s="198" t="s">
        <v>612</v>
      </c>
      <c r="C445" s="184" t="s">
        <v>1</v>
      </c>
      <c r="D445" s="185" t="s">
        <v>59</v>
      </c>
      <c r="E445" s="185" t="s">
        <v>59</v>
      </c>
      <c r="F445" s="186" t="s">
        <v>59</v>
      </c>
      <c r="G445" s="186" t="s">
        <v>59</v>
      </c>
      <c r="H445" s="186"/>
      <c r="I445" s="185"/>
      <c r="J445" s="180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  <c r="X445" s="181"/>
      <c r="Y445" s="181"/>
      <c r="AB445" s="174" t="str">
        <f t="shared" ref="AB445" si="174">B445</f>
        <v>Kevin Mbabu (A)</v>
      </c>
    </row>
    <row r="446" spans="1:28" ht="10.5" customHeight="1" x14ac:dyDescent="0.2">
      <c r="A446" s="199">
        <v>8</v>
      </c>
      <c r="B446" s="189" t="s">
        <v>162</v>
      </c>
      <c r="C446" s="189" t="s">
        <v>2</v>
      </c>
      <c r="D446" s="190" t="s">
        <v>59</v>
      </c>
      <c r="E446" s="190" t="s">
        <v>59</v>
      </c>
      <c r="F446" s="191" t="s">
        <v>59</v>
      </c>
      <c r="G446" s="191" t="s">
        <v>59</v>
      </c>
      <c r="H446" s="191"/>
      <c r="I446" s="190"/>
      <c r="J446" s="180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AB446" s="174" t="str">
        <f>B446</f>
        <v>Elvis Rexhbecaj</v>
      </c>
    </row>
    <row r="447" spans="1:28" ht="10.5" customHeight="1" x14ac:dyDescent="0.2">
      <c r="A447" s="199">
        <v>10</v>
      </c>
      <c r="B447" s="189" t="s">
        <v>288</v>
      </c>
      <c r="C447" s="189" t="s">
        <v>2</v>
      </c>
      <c r="D447" s="190" t="s">
        <v>59</v>
      </c>
      <c r="E447" s="190" t="s">
        <v>59</v>
      </c>
      <c r="F447" s="191" t="s">
        <v>59</v>
      </c>
      <c r="G447" s="191" t="s">
        <v>59</v>
      </c>
      <c r="H447" s="191"/>
      <c r="I447" s="190"/>
      <c r="J447" s="180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AB447" s="174" t="str">
        <f t="shared" ref="AB447:AB451" si="175">B447</f>
        <v>Arne Maier</v>
      </c>
    </row>
    <row r="448" spans="1:28" ht="10.5" customHeight="1" x14ac:dyDescent="0.2">
      <c r="A448" s="199">
        <v>11</v>
      </c>
      <c r="B448" s="189" t="s">
        <v>671</v>
      </c>
      <c r="C448" s="189" t="s">
        <v>2</v>
      </c>
      <c r="D448" s="190" t="s">
        <v>59</v>
      </c>
      <c r="E448" s="190" t="s">
        <v>59</v>
      </c>
      <c r="F448" s="191" t="s">
        <v>59</v>
      </c>
      <c r="G448" s="191" t="s">
        <v>59</v>
      </c>
      <c r="H448" s="191"/>
      <c r="I448" s="190"/>
      <c r="J448" s="180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AB448" s="174" t="str">
        <f t="shared" si="175"/>
        <v>Pep Biel (A)</v>
      </c>
    </row>
    <row r="449" spans="1:28" ht="10.5" customHeight="1" x14ac:dyDescent="0.2">
      <c r="A449" s="199">
        <v>14</v>
      </c>
      <c r="B449" s="189" t="s">
        <v>479</v>
      </c>
      <c r="C449" s="189" t="s">
        <v>2</v>
      </c>
      <c r="D449" s="190" t="s">
        <v>59</v>
      </c>
      <c r="E449" s="190" t="s">
        <v>59</v>
      </c>
      <c r="F449" s="191" t="s">
        <v>59</v>
      </c>
      <c r="G449" s="191" t="s">
        <v>59</v>
      </c>
      <c r="H449" s="191"/>
      <c r="I449" s="190"/>
      <c r="J449" s="180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  <c r="X449" s="181"/>
      <c r="Y449" s="181"/>
      <c r="AB449" s="174" t="str">
        <f t="shared" ref="AB449" si="176">B449</f>
        <v>Masaya Okugawa (A)</v>
      </c>
    </row>
    <row r="450" spans="1:28" ht="10.5" customHeight="1" x14ac:dyDescent="0.2">
      <c r="A450" s="199">
        <v>16</v>
      </c>
      <c r="B450" s="189" t="s">
        <v>201</v>
      </c>
      <c r="C450" s="189" t="s">
        <v>2</v>
      </c>
      <c r="D450" s="190" t="s">
        <v>59</v>
      </c>
      <c r="E450" s="190" t="s">
        <v>59</v>
      </c>
      <c r="F450" s="191" t="s">
        <v>59</v>
      </c>
      <c r="G450" s="191" t="s">
        <v>59</v>
      </c>
      <c r="H450" s="191"/>
      <c r="I450" s="190"/>
      <c r="J450" s="180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  <c r="Y450" s="181"/>
      <c r="AB450" s="174" t="str">
        <f t="shared" si="175"/>
        <v>Ruben Vargas (A)</v>
      </c>
    </row>
    <row r="451" spans="1:28" ht="10.5" customHeight="1" x14ac:dyDescent="0.2">
      <c r="A451" s="199">
        <v>17</v>
      </c>
      <c r="B451" s="189" t="s">
        <v>578</v>
      </c>
      <c r="C451" s="189" t="s">
        <v>2</v>
      </c>
      <c r="D451" s="190" t="s">
        <v>59</v>
      </c>
      <c r="E451" s="190" t="s">
        <v>59</v>
      </c>
      <c r="F451" s="191" t="s">
        <v>59</v>
      </c>
      <c r="G451" s="191" t="s">
        <v>59</v>
      </c>
      <c r="H451" s="191"/>
      <c r="I451" s="190"/>
      <c r="J451" s="180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AB451" s="174" t="str">
        <f t="shared" si="175"/>
        <v>Kristijan Jakić (A)</v>
      </c>
    </row>
    <row r="452" spans="1:28" ht="10.5" customHeight="1" x14ac:dyDescent="0.2">
      <c r="A452" s="199">
        <v>18</v>
      </c>
      <c r="B452" s="189" t="s">
        <v>480</v>
      </c>
      <c r="C452" s="189" t="s">
        <v>2</v>
      </c>
      <c r="D452" s="190" t="s">
        <v>59</v>
      </c>
      <c r="E452" s="190" t="s">
        <v>59</v>
      </c>
      <c r="F452" s="191" t="s">
        <v>59</v>
      </c>
      <c r="G452" s="191" t="s">
        <v>59</v>
      </c>
      <c r="H452" s="191"/>
      <c r="I452" s="190"/>
      <c r="J452" s="180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AB452" s="174" t="str">
        <f t="shared" ref="AB452:AB455" si="177">B452</f>
        <v>Tim Breithaupt</v>
      </c>
    </row>
    <row r="453" spans="1:28" ht="10.5" customHeight="1" x14ac:dyDescent="0.2">
      <c r="A453" s="199">
        <v>24</v>
      </c>
      <c r="B453" s="189" t="s">
        <v>166</v>
      </c>
      <c r="C453" s="189" t="s">
        <v>2</v>
      </c>
      <c r="D453" s="190" t="s">
        <v>59</v>
      </c>
      <c r="E453" s="190" t="s">
        <v>59</v>
      </c>
      <c r="F453" s="191" t="s">
        <v>59</v>
      </c>
      <c r="G453" s="191" t="s">
        <v>59</v>
      </c>
      <c r="H453" s="191"/>
      <c r="I453" s="190"/>
      <c r="J453" s="180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  <c r="Y453" s="181"/>
      <c r="AB453" s="174" t="str">
        <f t="shared" si="177"/>
        <v>Fredrik Jensen (A)</v>
      </c>
    </row>
    <row r="454" spans="1:28" ht="10.5" customHeight="1" x14ac:dyDescent="0.2">
      <c r="A454" s="199">
        <v>27</v>
      </c>
      <c r="B454" s="189" t="s">
        <v>386</v>
      </c>
      <c r="C454" s="189" t="s">
        <v>2</v>
      </c>
      <c r="D454" s="190" t="s">
        <v>59</v>
      </c>
      <c r="E454" s="190" t="s">
        <v>59</v>
      </c>
      <c r="F454" s="191" t="s">
        <v>59</v>
      </c>
      <c r="G454" s="191" t="s">
        <v>59</v>
      </c>
      <c r="H454" s="191"/>
      <c r="I454" s="190"/>
      <c r="J454" s="180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  <c r="Y454" s="181"/>
      <c r="AB454" s="174" t="str">
        <f t="shared" ref="AB454" si="178">B454</f>
        <v>Arne Engels (A)</v>
      </c>
    </row>
    <row r="455" spans="1:28" ht="10.5" customHeight="1" x14ac:dyDescent="0.2">
      <c r="A455" s="199">
        <v>30</v>
      </c>
      <c r="B455" s="189" t="s">
        <v>289</v>
      </c>
      <c r="C455" s="189" t="s">
        <v>2</v>
      </c>
      <c r="D455" s="190" t="s">
        <v>59</v>
      </c>
      <c r="E455" s="190" t="s">
        <v>59</v>
      </c>
      <c r="F455" s="191" t="s">
        <v>59</v>
      </c>
      <c r="G455" s="191" t="s">
        <v>59</v>
      </c>
      <c r="H455" s="191"/>
      <c r="I455" s="190"/>
      <c r="J455" s="180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  <c r="Y455" s="181"/>
      <c r="AB455" s="174" t="str">
        <f t="shared" si="177"/>
        <v>Niklas Dorsch</v>
      </c>
    </row>
    <row r="456" spans="1:28" ht="10.5" customHeight="1" x14ac:dyDescent="0.2">
      <c r="A456" s="199">
        <v>36</v>
      </c>
      <c r="B456" s="189" t="s">
        <v>481</v>
      </c>
      <c r="C456" s="189" t="s">
        <v>2</v>
      </c>
      <c r="D456" s="190" t="s">
        <v>59</v>
      </c>
      <c r="E456" s="190" t="s">
        <v>59</v>
      </c>
      <c r="F456" s="191" t="s">
        <v>59</v>
      </c>
      <c r="G456" s="191" t="s">
        <v>59</v>
      </c>
      <c r="H456" s="191"/>
      <c r="I456" s="190"/>
      <c r="J456" s="180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  <c r="W456" s="181"/>
      <c r="X456" s="181"/>
      <c r="Y456" s="181"/>
      <c r="AB456" s="174" t="str">
        <f t="shared" ref="AB456" si="179">B456</f>
        <v>Mert Kömür</v>
      </c>
    </row>
    <row r="457" spans="1:28" ht="10.5" customHeight="1" x14ac:dyDescent="0.2">
      <c r="A457" s="200">
        <v>7</v>
      </c>
      <c r="B457" s="194" t="s">
        <v>482</v>
      </c>
      <c r="C457" s="194" t="s">
        <v>3</v>
      </c>
      <c r="D457" s="195" t="s">
        <v>59</v>
      </c>
      <c r="E457" s="195" t="s">
        <v>59</v>
      </c>
      <c r="F457" s="196" t="s">
        <v>59</v>
      </c>
      <c r="G457" s="196" t="s">
        <v>59</v>
      </c>
      <c r="H457" s="196"/>
      <c r="I457" s="195"/>
      <c r="J457" s="180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  <c r="X457" s="181"/>
      <c r="Y457" s="181"/>
      <c r="AB457" s="174" t="str">
        <f>B457</f>
        <v>Dion Beljo (A)</v>
      </c>
    </row>
    <row r="458" spans="1:28" ht="10.5" customHeight="1" x14ac:dyDescent="0.2">
      <c r="A458" s="200">
        <v>9</v>
      </c>
      <c r="B458" s="194" t="s">
        <v>594</v>
      </c>
      <c r="C458" s="194" t="s">
        <v>3</v>
      </c>
      <c r="D458" s="195" t="s">
        <v>59</v>
      </c>
      <c r="E458" s="195" t="s">
        <v>59</v>
      </c>
      <c r="F458" s="196" t="s">
        <v>59</v>
      </c>
      <c r="G458" s="196" t="s">
        <v>59</v>
      </c>
      <c r="H458" s="196"/>
      <c r="I458" s="195"/>
      <c r="J458" s="180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  <c r="X458" s="181"/>
      <c r="Y458" s="181"/>
      <c r="AB458" s="174" t="str">
        <f t="shared" ref="AB458" si="180">B458</f>
        <v>Ermedin Demirović (A)</v>
      </c>
    </row>
    <row r="459" spans="1:28" ht="10.5" customHeight="1" x14ac:dyDescent="0.2">
      <c r="A459" s="200">
        <v>20</v>
      </c>
      <c r="B459" s="194" t="s">
        <v>483</v>
      </c>
      <c r="C459" s="194" t="s">
        <v>3</v>
      </c>
      <c r="D459" s="195" t="s">
        <v>59</v>
      </c>
      <c r="E459" s="195" t="s">
        <v>59</v>
      </c>
      <c r="F459" s="196" t="s">
        <v>59</v>
      </c>
      <c r="G459" s="196" t="s">
        <v>59</v>
      </c>
      <c r="H459" s="196"/>
      <c r="I459" s="195"/>
      <c r="J459" s="180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  <c r="X459" s="181"/>
      <c r="Y459" s="181"/>
      <c r="AB459" s="174" t="str">
        <f t="shared" ref="AB459:AB460" si="181">B459</f>
        <v>Sven Michel</v>
      </c>
    </row>
    <row r="460" spans="1:28" ht="10.5" customHeight="1" x14ac:dyDescent="0.2">
      <c r="A460" s="200">
        <v>21</v>
      </c>
      <c r="B460" s="194" t="s">
        <v>484</v>
      </c>
      <c r="C460" s="194" t="s">
        <v>3</v>
      </c>
      <c r="D460" s="195" t="s">
        <v>59</v>
      </c>
      <c r="E460" s="195" t="s">
        <v>59</v>
      </c>
      <c r="F460" s="196" t="s">
        <v>59</v>
      </c>
      <c r="G460" s="196" t="s">
        <v>59</v>
      </c>
      <c r="H460" s="196"/>
      <c r="I460" s="195"/>
      <c r="J460" s="180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AB460" s="174" t="str">
        <f t="shared" si="181"/>
        <v>Phillip Tietz</v>
      </c>
    </row>
    <row r="461" spans="1:28" ht="15" customHeight="1" thickBot="1" x14ac:dyDescent="0.25">
      <c r="A461" s="219" t="s">
        <v>225</v>
      </c>
      <c r="B461" s="219"/>
      <c r="C461" s="219"/>
      <c r="D461" s="219"/>
      <c r="E461" s="219"/>
      <c r="F461" s="219"/>
      <c r="G461" s="219"/>
      <c r="H461" s="219"/>
      <c r="I461" s="219"/>
      <c r="J461" s="10"/>
      <c r="K461" s="175">
        <v>12</v>
      </c>
      <c r="L461" s="175">
        <v>12</v>
      </c>
      <c r="M461" s="175">
        <v>12</v>
      </c>
      <c r="N461" s="175">
        <v>12</v>
      </c>
      <c r="O461" s="175">
        <v>12</v>
      </c>
      <c r="P461" s="175">
        <v>12</v>
      </c>
      <c r="Q461" s="175">
        <v>12</v>
      </c>
      <c r="R461" s="175">
        <v>12</v>
      </c>
      <c r="S461" s="175">
        <v>12</v>
      </c>
      <c r="T461" s="175">
        <v>12</v>
      </c>
      <c r="U461" s="175">
        <v>12</v>
      </c>
      <c r="V461" s="175">
        <v>12</v>
      </c>
      <c r="W461" s="175">
        <v>12</v>
      </c>
      <c r="X461" s="175">
        <v>12</v>
      </c>
      <c r="Y461" s="175">
        <v>12</v>
      </c>
      <c r="Z461" s="216"/>
      <c r="AB461" s="174" t="str">
        <f>A461</f>
        <v>VfB Stuttgart</v>
      </c>
    </row>
    <row r="462" spans="1:28" s="113" customFormat="1" ht="10.5" customHeight="1" x14ac:dyDescent="0.2">
      <c r="A462" s="176">
        <v>1</v>
      </c>
      <c r="B462" s="177" t="s">
        <v>240</v>
      </c>
      <c r="C462" s="177" t="s">
        <v>0</v>
      </c>
      <c r="D462" s="178" t="s">
        <v>59</v>
      </c>
      <c r="E462" s="178" t="s">
        <v>59</v>
      </c>
      <c r="F462" s="179" t="s">
        <v>59</v>
      </c>
      <c r="G462" s="179" t="s">
        <v>59</v>
      </c>
      <c r="H462" s="179"/>
      <c r="I462" s="178"/>
      <c r="J462" s="180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71"/>
      <c r="AB462" s="174" t="str">
        <f t="shared" ref="AB462:AB464" si="182">B462</f>
        <v>Fabian Bredlow</v>
      </c>
    </row>
    <row r="463" spans="1:28" s="113" customFormat="1" ht="10.5" customHeight="1" x14ac:dyDescent="0.2">
      <c r="A463" s="176">
        <v>33</v>
      </c>
      <c r="B463" s="177" t="s">
        <v>485</v>
      </c>
      <c r="C463" s="177" t="s">
        <v>0</v>
      </c>
      <c r="D463" s="178" t="s">
        <v>59</v>
      </c>
      <c r="E463" s="178" t="s">
        <v>59</v>
      </c>
      <c r="F463" s="179" t="s">
        <v>59</v>
      </c>
      <c r="G463" s="179" t="s">
        <v>59</v>
      </c>
      <c r="H463" s="179"/>
      <c r="I463" s="178"/>
      <c r="J463" s="180"/>
      <c r="K463" s="181"/>
      <c r="L463" s="181"/>
      <c r="M463" s="181"/>
      <c r="N463" s="181"/>
      <c r="O463" s="181"/>
      <c r="P463" s="181">
        <v>1</v>
      </c>
      <c r="Q463" s="181"/>
      <c r="R463" s="181"/>
      <c r="S463" s="181"/>
      <c r="T463" s="181"/>
      <c r="U463" s="181"/>
      <c r="V463" s="181"/>
      <c r="W463" s="181"/>
      <c r="X463" s="181"/>
      <c r="Y463" s="181"/>
      <c r="Z463" s="171"/>
      <c r="AB463" s="174" t="str">
        <f t="shared" si="182"/>
        <v>Alexander Nübel</v>
      </c>
    </row>
    <row r="464" spans="1:28" s="113" customFormat="1" ht="10.5" customHeight="1" x14ac:dyDescent="0.2">
      <c r="A464" s="176">
        <v>41</v>
      </c>
      <c r="B464" s="177" t="s">
        <v>486</v>
      </c>
      <c r="C464" s="177" t="s">
        <v>0</v>
      </c>
      <c r="D464" s="178" t="s">
        <v>59</v>
      </c>
      <c r="E464" s="178" t="s">
        <v>59</v>
      </c>
      <c r="F464" s="179" t="s">
        <v>59</v>
      </c>
      <c r="G464" s="179" t="s">
        <v>59</v>
      </c>
      <c r="H464" s="179"/>
      <c r="I464" s="178"/>
      <c r="J464" s="180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71"/>
      <c r="AB464" s="174" t="str">
        <f t="shared" si="182"/>
        <v>Dennis Seimen</v>
      </c>
    </row>
    <row r="465" spans="1:28" s="113" customFormat="1" ht="10.5" customHeight="1" x14ac:dyDescent="0.2">
      <c r="A465" s="176">
        <v>42</v>
      </c>
      <c r="B465" s="177" t="s">
        <v>310</v>
      </c>
      <c r="C465" s="177" t="s">
        <v>0</v>
      </c>
      <c r="D465" s="178" t="s">
        <v>59</v>
      </c>
      <c r="E465" s="178" t="s">
        <v>59</v>
      </c>
      <c r="F465" s="179" t="s">
        <v>59</v>
      </c>
      <c r="G465" s="179" t="s">
        <v>59</v>
      </c>
      <c r="H465" s="179"/>
      <c r="I465" s="178"/>
      <c r="J465" s="180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81"/>
      <c r="Z465" s="171"/>
      <c r="AB465" s="174" t="str">
        <f t="shared" ref="AB465" si="183">B465</f>
        <v>Florian Schock</v>
      </c>
    </row>
    <row r="466" spans="1:28" s="113" customFormat="1" ht="10.5" customHeight="1" x14ac:dyDescent="0.2">
      <c r="A466" s="197">
        <v>2</v>
      </c>
      <c r="B466" s="198" t="s">
        <v>241</v>
      </c>
      <c r="C466" s="184" t="s">
        <v>1</v>
      </c>
      <c r="D466" s="185" t="s">
        <v>59</v>
      </c>
      <c r="E466" s="185" t="s">
        <v>59</v>
      </c>
      <c r="F466" s="186" t="s">
        <v>59</v>
      </c>
      <c r="G466" s="186" t="s">
        <v>59</v>
      </c>
      <c r="H466" s="186"/>
      <c r="I466" s="185"/>
      <c r="J466" s="180"/>
      <c r="K466" s="181">
        <v>4</v>
      </c>
      <c r="L466" s="181"/>
      <c r="M466" s="181"/>
      <c r="N466" s="181"/>
      <c r="O466" s="181">
        <v>4</v>
      </c>
      <c r="P466" s="181"/>
      <c r="Q466" s="181"/>
      <c r="R466" s="181"/>
      <c r="S466" s="181"/>
      <c r="T466" s="181"/>
      <c r="U466" s="181"/>
      <c r="V466" s="181"/>
      <c r="W466" s="181"/>
      <c r="X466" s="181"/>
      <c r="Y466" s="181"/>
      <c r="Z466" s="171"/>
      <c r="AB466" s="174" t="str">
        <f t="shared" ref="AB466" si="184">B466</f>
        <v>Waldemar Anton</v>
      </c>
    </row>
    <row r="467" spans="1:28" s="113" customFormat="1" ht="10.5" customHeight="1" x14ac:dyDescent="0.2">
      <c r="A467" s="197">
        <v>4</v>
      </c>
      <c r="B467" s="198" t="s">
        <v>356</v>
      </c>
      <c r="C467" s="184" t="s">
        <v>1</v>
      </c>
      <c r="D467" s="185" t="s">
        <v>59</v>
      </c>
      <c r="E467" s="185" t="s">
        <v>59</v>
      </c>
      <c r="F467" s="186" t="s">
        <v>59</v>
      </c>
      <c r="G467" s="186" t="s">
        <v>59</v>
      </c>
      <c r="H467" s="186"/>
      <c r="I467" s="185"/>
      <c r="J467" s="180"/>
      <c r="K467" s="181"/>
      <c r="L467" s="181"/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  <c r="W467" s="181"/>
      <c r="X467" s="181"/>
      <c r="Y467" s="181"/>
      <c r="Z467" s="171"/>
      <c r="AB467" s="174" t="str">
        <f t="shared" ref="AB467:AB471" si="185">B467</f>
        <v>Josha Vagnoman</v>
      </c>
    </row>
    <row r="468" spans="1:28" s="113" customFormat="1" ht="10.5" customHeight="1" x14ac:dyDescent="0.2">
      <c r="A468" s="197">
        <v>7</v>
      </c>
      <c r="B468" s="198" t="s">
        <v>148</v>
      </c>
      <c r="C468" s="184" t="s">
        <v>1</v>
      </c>
      <c r="D468" s="185" t="s">
        <v>59</v>
      </c>
      <c r="E468" s="185" t="s">
        <v>59</v>
      </c>
      <c r="F468" s="186" t="s">
        <v>59</v>
      </c>
      <c r="G468" s="186" t="s">
        <v>59</v>
      </c>
      <c r="H468" s="186"/>
      <c r="I468" s="185"/>
      <c r="J468" s="180"/>
      <c r="K468" s="181"/>
      <c r="L468" s="181">
        <v>2</v>
      </c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  <c r="W468" s="181"/>
      <c r="X468" s="181"/>
      <c r="Y468" s="181"/>
      <c r="Z468" s="171"/>
      <c r="AB468" s="174" t="str">
        <f t="shared" si="185"/>
        <v>Maximilian Mittelstädt</v>
      </c>
    </row>
    <row r="469" spans="1:28" s="113" customFormat="1" ht="10.5" customHeight="1" x14ac:dyDescent="0.2">
      <c r="A469" s="197">
        <v>15</v>
      </c>
      <c r="B469" s="198" t="s">
        <v>242</v>
      </c>
      <c r="C469" s="184" t="s">
        <v>1</v>
      </c>
      <c r="D469" s="185" t="s">
        <v>59</v>
      </c>
      <c r="E469" s="185" t="s">
        <v>59</v>
      </c>
      <c r="F469" s="186" t="s">
        <v>59</v>
      </c>
      <c r="G469" s="186" t="s">
        <v>59</v>
      </c>
      <c r="H469" s="186"/>
      <c r="I469" s="185"/>
      <c r="J469" s="180"/>
      <c r="K469" s="181"/>
      <c r="L469" s="181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  <c r="X469" s="181"/>
      <c r="Y469" s="181"/>
      <c r="Z469" s="171"/>
      <c r="AB469" s="174" t="str">
        <f t="shared" si="185"/>
        <v>Pascal Stenzel</v>
      </c>
    </row>
    <row r="470" spans="1:28" s="113" customFormat="1" ht="10.5" customHeight="1" x14ac:dyDescent="0.2">
      <c r="A470" s="197">
        <v>20</v>
      </c>
      <c r="B470" s="198" t="s">
        <v>563</v>
      </c>
      <c r="C470" s="184" t="s">
        <v>1</v>
      </c>
      <c r="D470" s="185" t="s">
        <v>59</v>
      </c>
      <c r="E470" s="185" t="s">
        <v>59</v>
      </c>
      <c r="F470" s="186" t="s">
        <v>59</v>
      </c>
      <c r="G470" s="186" t="s">
        <v>59</v>
      </c>
      <c r="H470" s="186"/>
      <c r="I470" s="185"/>
      <c r="J470" s="180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71"/>
      <c r="AB470" s="174" t="str">
        <f>B470</f>
        <v>Leonidas Stergiou (A)</v>
      </c>
    </row>
    <row r="471" spans="1:28" s="113" customFormat="1" ht="10.5" customHeight="1" x14ac:dyDescent="0.2">
      <c r="A471" s="197">
        <v>21</v>
      </c>
      <c r="B471" s="198" t="s">
        <v>277</v>
      </c>
      <c r="C471" s="184" t="s">
        <v>1</v>
      </c>
      <c r="D471" s="185" t="s">
        <v>59</v>
      </c>
      <c r="E471" s="185" t="s">
        <v>59</v>
      </c>
      <c r="F471" s="186" t="s">
        <v>59</v>
      </c>
      <c r="G471" s="186" t="s">
        <v>59</v>
      </c>
      <c r="H471" s="186"/>
      <c r="I471" s="185"/>
      <c r="J471" s="180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71"/>
      <c r="AB471" s="174" t="str">
        <f t="shared" si="185"/>
        <v>Hikori Ito (A)</v>
      </c>
    </row>
    <row r="472" spans="1:28" s="113" customFormat="1" ht="10.5" customHeight="1" x14ac:dyDescent="0.2">
      <c r="A472" s="197">
        <v>23</v>
      </c>
      <c r="B472" s="198" t="s">
        <v>379</v>
      </c>
      <c r="C472" s="184" t="s">
        <v>1</v>
      </c>
      <c r="D472" s="185" t="s">
        <v>59</v>
      </c>
      <c r="E472" s="185" t="s">
        <v>59</v>
      </c>
      <c r="F472" s="186" t="s">
        <v>59</v>
      </c>
      <c r="G472" s="186" t="s">
        <v>59</v>
      </c>
      <c r="H472" s="186"/>
      <c r="I472" s="185"/>
      <c r="J472" s="180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  <c r="Y472" s="181"/>
      <c r="Z472" s="171"/>
      <c r="AB472" s="174" t="str">
        <f t="shared" ref="AB472:AB473" si="186">B472</f>
        <v>Dan-Axel Zagadou (A)</v>
      </c>
    </row>
    <row r="473" spans="1:28" s="113" customFormat="1" ht="10.5" customHeight="1" x14ac:dyDescent="0.2">
      <c r="A473" s="197">
        <v>29</v>
      </c>
      <c r="B473" s="198" t="s">
        <v>613</v>
      </c>
      <c r="C473" s="184" t="s">
        <v>1</v>
      </c>
      <c r="D473" s="185" t="s">
        <v>59</v>
      </c>
      <c r="E473" s="185" t="s">
        <v>59</v>
      </c>
      <c r="F473" s="186" t="s">
        <v>59</v>
      </c>
      <c r="G473" s="186" t="s">
        <v>59</v>
      </c>
      <c r="H473" s="186"/>
      <c r="I473" s="185"/>
      <c r="J473" s="180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  <c r="Y473" s="181"/>
      <c r="Z473" s="171"/>
      <c r="AB473" s="174" t="str">
        <f t="shared" si="186"/>
        <v>Anthony Rouault (A)</v>
      </c>
    </row>
    <row r="474" spans="1:28" s="113" customFormat="1" ht="10.5" customHeight="1" x14ac:dyDescent="0.2">
      <c r="A474" s="197">
        <v>49</v>
      </c>
      <c r="B474" s="198" t="s">
        <v>648</v>
      </c>
      <c r="C474" s="184" t="s">
        <v>1</v>
      </c>
      <c r="D474" s="185" t="s">
        <v>59</v>
      </c>
      <c r="E474" s="185" t="s">
        <v>59</v>
      </c>
      <c r="F474" s="186" t="s">
        <v>59</v>
      </c>
      <c r="G474" s="186" t="s">
        <v>59</v>
      </c>
      <c r="H474" s="186"/>
      <c r="I474" s="185"/>
      <c r="J474" s="180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  <c r="X474" s="181"/>
      <c r="Y474" s="181"/>
      <c r="Z474" s="171"/>
      <c r="AB474" s="174" t="str">
        <f t="shared" ref="AB474:AB476" si="187">B474</f>
        <v>Moussa Cissé (A)</v>
      </c>
    </row>
    <row r="475" spans="1:28" s="113" customFormat="1" ht="10.5" customHeight="1" x14ac:dyDescent="0.2">
      <c r="A475" s="199">
        <v>5</v>
      </c>
      <c r="B475" s="189" t="s">
        <v>672</v>
      </c>
      <c r="C475" s="189" t="s">
        <v>2</v>
      </c>
      <c r="D475" s="190" t="s">
        <v>59</v>
      </c>
      <c r="E475" s="190" t="s">
        <v>59</v>
      </c>
      <c r="F475" s="191" t="s">
        <v>59</v>
      </c>
      <c r="G475" s="191" t="s">
        <v>59</v>
      </c>
      <c r="H475" s="191"/>
      <c r="I475" s="190"/>
      <c r="J475" s="180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  <c r="X475" s="181"/>
      <c r="Y475" s="181"/>
      <c r="Z475" s="171"/>
      <c r="AB475" s="174" t="str">
        <f t="shared" ref="AB475" si="188">B475</f>
        <v>Mahmoud Dahoud</v>
      </c>
    </row>
    <row r="476" spans="1:28" s="113" customFormat="1" ht="10.5" customHeight="1" x14ac:dyDescent="0.2">
      <c r="A476" s="199">
        <v>6</v>
      </c>
      <c r="B476" s="189" t="s">
        <v>280</v>
      </c>
      <c r="C476" s="189" t="s">
        <v>2</v>
      </c>
      <c r="D476" s="190" t="s">
        <v>59</v>
      </c>
      <c r="E476" s="190" t="s">
        <v>59</v>
      </c>
      <c r="F476" s="191" t="s">
        <v>59</v>
      </c>
      <c r="G476" s="191" t="s">
        <v>59</v>
      </c>
      <c r="H476" s="191"/>
      <c r="I476" s="190"/>
      <c r="J476" s="180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81"/>
      <c r="Y476" s="181"/>
      <c r="Z476" s="171"/>
      <c r="AB476" s="174" t="str">
        <f t="shared" si="187"/>
        <v>Angelo Stiller</v>
      </c>
    </row>
    <row r="477" spans="1:28" s="113" customFormat="1" ht="10.5" customHeight="1" x14ac:dyDescent="0.2">
      <c r="A477" s="199">
        <v>8</v>
      </c>
      <c r="B477" s="189" t="s">
        <v>305</v>
      </c>
      <c r="C477" s="189" t="s">
        <v>2</v>
      </c>
      <c r="D477" s="190" t="s">
        <v>59</v>
      </c>
      <c r="E477" s="190" t="s">
        <v>59</v>
      </c>
      <c r="F477" s="191" t="s">
        <v>59</v>
      </c>
      <c r="G477" s="191" t="s">
        <v>59</v>
      </c>
      <c r="H477" s="191"/>
      <c r="I477" s="190"/>
      <c r="J477" s="180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  <c r="X477" s="181"/>
      <c r="Y477" s="181"/>
      <c r="Z477" s="171"/>
      <c r="AB477" s="174" t="str">
        <f t="shared" ref="AB477:AB488" si="189">B477</f>
        <v>Enzo Millot (A)</v>
      </c>
    </row>
    <row r="478" spans="1:28" s="113" customFormat="1" ht="10.5" customHeight="1" x14ac:dyDescent="0.2">
      <c r="A478" s="199">
        <v>10</v>
      </c>
      <c r="B478" s="189" t="s">
        <v>487</v>
      </c>
      <c r="C478" s="189" t="s">
        <v>2</v>
      </c>
      <c r="D478" s="190" t="s">
        <v>59</v>
      </c>
      <c r="E478" s="190" t="s">
        <v>59</v>
      </c>
      <c r="F478" s="191" t="s">
        <v>59</v>
      </c>
      <c r="G478" s="191" t="s">
        <v>59</v>
      </c>
      <c r="H478" s="191"/>
      <c r="I478" s="190"/>
      <c r="J478" s="180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81"/>
      <c r="Y478" s="181"/>
      <c r="Z478" s="171"/>
      <c r="AB478" s="174" t="str">
        <f t="shared" ref="AB478" si="190">B478</f>
        <v>Wooyeong Jeong (A)</v>
      </c>
    </row>
    <row r="479" spans="1:28" s="113" customFormat="1" ht="10.5" customHeight="1" x14ac:dyDescent="0.2">
      <c r="A479" s="199">
        <v>16</v>
      </c>
      <c r="B479" s="189" t="s">
        <v>243</v>
      </c>
      <c r="C479" s="189" t="s">
        <v>2</v>
      </c>
      <c r="D479" s="190" t="s">
        <v>59</v>
      </c>
      <c r="E479" s="190" t="s">
        <v>59</v>
      </c>
      <c r="F479" s="191" t="s">
        <v>59</v>
      </c>
      <c r="G479" s="191" t="s">
        <v>59</v>
      </c>
      <c r="H479" s="191"/>
      <c r="I479" s="190"/>
      <c r="J479" s="180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  <c r="X479" s="181"/>
      <c r="Y479" s="181"/>
      <c r="Z479" s="171"/>
      <c r="AB479" s="174" t="str">
        <f>B479</f>
        <v>Atakan Karazor</v>
      </c>
    </row>
    <row r="480" spans="1:28" s="113" customFormat="1" ht="10.5" customHeight="1" x14ac:dyDescent="0.2">
      <c r="A480" s="199">
        <v>17</v>
      </c>
      <c r="B480" s="189" t="s">
        <v>272</v>
      </c>
      <c r="C480" s="189" t="s">
        <v>2</v>
      </c>
      <c r="D480" s="190" t="s">
        <v>59</v>
      </c>
      <c r="E480" s="190" t="s">
        <v>59</v>
      </c>
      <c r="F480" s="191" t="s">
        <v>59</v>
      </c>
      <c r="G480" s="191" t="s">
        <v>59</v>
      </c>
      <c r="H480" s="191"/>
      <c r="I480" s="190"/>
      <c r="J480" s="180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81"/>
      <c r="Y480" s="181"/>
      <c r="Z480" s="171"/>
      <c r="AB480" s="174" t="str">
        <f>B480</f>
        <v>Genki Haraguchi (A)</v>
      </c>
    </row>
    <row r="481" spans="1:28" s="113" customFormat="1" ht="10.5" customHeight="1" x14ac:dyDescent="0.2">
      <c r="A481" s="199">
        <v>25</v>
      </c>
      <c r="B481" s="189" t="s">
        <v>245</v>
      </c>
      <c r="C481" s="189" t="s">
        <v>2</v>
      </c>
      <c r="D481" s="190" t="s">
        <v>59</v>
      </c>
      <c r="E481" s="190" t="s">
        <v>59</v>
      </c>
      <c r="F481" s="191" t="s">
        <v>59</v>
      </c>
      <c r="G481" s="191" t="s">
        <v>59</v>
      </c>
      <c r="H481" s="191"/>
      <c r="I481" s="190"/>
      <c r="J481" s="180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81"/>
      <c r="Y481" s="181"/>
      <c r="Z481" s="171"/>
      <c r="AB481" s="174" t="str">
        <f t="shared" si="189"/>
        <v>Lilian Egloff</v>
      </c>
    </row>
    <row r="482" spans="1:28" s="113" customFormat="1" ht="10.5" customHeight="1" x14ac:dyDescent="0.2">
      <c r="A482" s="199">
        <v>27</v>
      </c>
      <c r="B482" s="189" t="s">
        <v>275</v>
      </c>
      <c r="C482" s="189" t="s">
        <v>2</v>
      </c>
      <c r="D482" s="190" t="s">
        <v>59</v>
      </c>
      <c r="E482" s="190" t="s">
        <v>59</v>
      </c>
      <c r="F482" s="191" t="s">
        <v>59</v>
      </c>
      <c r="G482" s="191" t="s">
        <v>59</v>
      </c>
      <c r="H482" s="191"/>
      <c r="I482" s="190"/>
      <c r="J482" s="180"/>
      <c r="K482" s="181"/>
      <c r="L482" s="181">
        <v>5</v>
      </c>
      <c r="M482" s="181"/>
      <c r="N482" s="181">
        <v>8</v>
      </c>
      <c r="O482" s="181"/>
      <c r="P482" s="181">
        <v>8</v>
      </c>
      <c r="Q482" s="181">
        <v>8</v>
      </c>
      <c r="R482" s="181">
        <v>8</v>
      </c>
      <c r="S482" s="181"/>
      <c r="T482" s="181"/>
      <c r="U482" s="181"/>
      <c r="V482" s="181"/>
      <c r="W482" s="181"/>
      <c r="X482" s="181"/>
      <c r="Y482" s="181"/>
      <c r="Z482" s="171"/>
      <c r="AB482" s="174" t="str">
        <f t="shared" si="189"/>
        <v>Chris Führich</v>
      </c>
    </row>
    <row r="483" spans="1:28" s="113" customFormat="1" ht="10.5" customHeight="1" x14ac:dyDescent="0.2">
      <c r="A483" s="199">
        <v>28</v>
      </c>
      <c r="B483" s="189" t="s">
        <v>276</v>
      </c>
      <c r="C483" s="189" t="s">
        <v>2</v>
      </c>
      <c r="D483" s="190" t="s">
        <v>59</v>
      </c>
      <c r="E483" s="190" t="s">
        <v>59</v>
      </c>
      <c r="F483" s="191" t="s">
        <v>59</v>
      </c>
      <c r="G483" s="191" t="s">
        <v>59</v>
      </c>
      <c r="H483" s="191"/>
      <c r="I483" s="190"/>
      <c r="J483" s="180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  <c r="X483" s="181"/>
      <c r="Y483" s="181"/>
      <c r="Z483" s="171"/>
      <c r="AB483" s="174" t="str">
        <f t="shared" si="189"/>
        <v>Nikolas Nartey (A)</v>
      </c>
    </row>
    <row r="484" spans="1:28" s="113" customFormat="1" ht="10.5" customHeight="1" x14ac:dyDescent="0.2">
      <c r="A484" s="199">
        <v>32</v>
      </c>
      <c r="B484" s="189" t="s">
        <v>488</v>
      </c>
      <c r="C484" s="189" t="s">
        <v>2</v>
      </c>
      <c r="D484" s="190" t="s">
        <v>59</v>
      </c>
      <c r="E484" s="190" t="s">
        <v>59</v>
      </c>
      <c r="F484" s="191" t="s">
        <v>59</v>
      </c>
      <c r="G484" s="191" t="s">
        <v>59</v>
      </c>
      <c r="H484" s="191"/>
      <c r="I484" s="190"/>
      <c r="J484" s="180"/>
      <c r="K484" s="181"/>
      <c r="L484" s="181"/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  <c r="W484" s="181"/>
      <c r="X484" s="181"/>
      <c r="Y484" s="181"/>
      <c r="Z484" s="171"/>
      <c r="AB484" s="174" t="str">
        <f t="shared" ref="AB484:AB487" si="191">B484</f>
        <v>Roberto Massimo</v>
      </c>
    </row>
    <row r="485" spans="1:28" s="113" customFormat="1" ht="10.5" customHeight="1" x14ac:dyDescent="0.2">
      <c r="A485" s="199">
        <v>36</v>
      </c>
      <c r="B485" s="189" t="s">
        <v>383</v>
      </c>
      <c r="C485" s="189" t="s">
        <v>2</v>
      </c>
      <c r="D485" s="190" t="s">
        <v>59</v>
      </c>
      <c r="E485" s="190" t="s">
        <v>59</v>
      </c>
      <c r="F485" s="191" t="s">
        <v>59</v>
      </c>
      <c r="G485" s="191" t="s">
        <v>59</v>
      </c>
      <c r="H485" s="191"/>
      <c r="I485" s="190"/>
      <c r="J485" s="180"/>
      <c r="K485" s="181"/>
      <c r="L485" s="181"/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  <c r="W485" s="181"/>
      <c r="X485" s="181"/>
      <c r="Y485" s="181"/>
      <c r="Z485" s="171"/>
      <c r="AB485" s="174" t="str">
        <f t="shared" si="191"/>
        <v>Laurin Ulrich</v>
      </c>
    </row>
    <row r="486" spans="1:28" s="113" customFormat="1" ht="10.5" customHeight="1" x14ac:dyDescent="0.2">
      <c r="A486" s="199">
        <v>40</v>
      </c>
      <c r="B486" s="189" t="s">
        <v>615</v>
      </c>
      <c r="C486" s="189" t="s">
        <v>2</v>
      </c>
      <c r="D486" s="190" t="s">
        <v>59</v>
      </c>
      <c r="E486" s="190" t="s">
        <v>59</v>
      </c>
      <c r="F486" s="191" t="s">
        <v>59</v>
      </c>
      <c r="G486" s="191" t="s">
        <v>59</v>
      </c>
      <c r="H486" s="191"/>
      <c r="I486" s="190"/>
      <c r="J486" s="180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  <c r="X486" s="181"/>
      <c r="Y486" s="181"/>
      <c r="Z486" s="171"/>
      <c r="AB486" s="174" t="str">
        <f t="shared" si="191"/>
        <v>Luca Raimund</v>
      </c>
    </row>
    <row r="487" spans="1:28" s="113" customFormat="1" ht="10.5" customHeight="1" x14ac:dyDescent="0.2">
      <c r="A487" s="199">
        <v>43</v>
      </c>
      <c r="B487" s="189" t="s">
        <v>649</v>
      </c>
      <c r="C487" s="189" t="s">
        <v>2</v>
      </c>
      <c r="D487" s="190" t="s">
        <v>59</v>
      </c>
      <c r="E487" s="190" t="s">
        <v>59</v>
      </c>
      <c r="F487" s="191" t="s">
        <v>59</v>
      </c>
      <c r="G487" s="191" t="s">
        <v>59</v>
      </c>
      <c r="H487" s="191"/>
      <c r="I487" s="190"/>
      <c r="J487" s="180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  <c r="X487" s="181"/>
      <c r="Y487" s="181"/>
      <c r="Z487" s="171"/>
      <c r="AB487" s="174" t="str">
        <f t="shared" si="191"/>
        <v>Raul Paula</v>
      </c>
    </row>
    <row r="488" spans="1:28" s="113" customFormat="1" ht="10.5" customHeight="1" x14ac:dyDescent="0.2">
      <c r="A488" s="199">
        <v>46</v>
      </c>
      <c r="B488" s="189" t="s">
        <v>637</v>
      </c>
      <c r="C488" s="189" t="s">
        <v>2</v>
      </c>
      <c r="D488" s="190" t="s">
        <v>59</v>
      </c>
      <c r="E488" s="190" t="s">
        <v>59</v>
      </c>
      <c r="F488" s="191" t="s">
        <v>59</v>
      </c>
      <c r="G488" s="191" t="s">
        <v>59</v>
      </c>
      <c r="H488" s="191"/>
      <c r="I488" s="190"/>
      <c r="J488" s="180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  <c r="X488" s="181"/>
      <c r="Y488" s="181"/>
      <c r="Z488" s="171"/>
      <c r="AB488" s="174" t="str">
        <f t="shared" si="189"/>
        <v>Samuele Di Benedetto</v>
      </c>
    </row>
    <row r="489" spans="1:28" s="113" customFormat="1" ht="10.5" customHeight="1" x14ac:dyDescent="0.2">
      <c r="A489" s="200">
        <v>9</v>
      </c>
      <c r="B489" s="194" t="s">
        <v>380</v>
      </c>
      <c r="C489" s="194" t="s">
        <v>3</v>
      </c>
      <c r="D489" s="195" t="s">
        <v>59</v>
      </c>
      <c r="E489" s="195" t="s">
        <v>59</v>
      </c>
      <c r="F489" s="196" t="s">
        <v>59</v>
      </c>
      <c r="G489" s="196" t="s">
        <v>59</v>
      </c>
      <c r="H489" s="196"/>
      <c r="I489" s="195"/>
      <c r="J489" s="180"/>
      <c r="K489" s="181"/>
      <c r="L489" s="181"/>
      <c r="M489" s="181">
        <v>11</v>
      </c>
      <c r="N489" s="181"/>
      <c r="O489" s="181">
        <v>9</v>
      </c>
      <c r="P489" s="181"/>
      <c r="Q489" s="181"/>
      <c r="R489" s="181"/>
      <c r="S489" s="181"/>
      <c r="T489" s="181"/>
      <c r="U489" s="181"/>
      <c r="V489" s="181"/>
      <c r="W489" s="181"/>
      <c r="X489" s="181"/>
      <c r="Y489" s="181"/>
      <c r="Z489" s="171"/>
      <c r="AB489" s="174" t="str">
        <f t="shared" ref="AB489:AB491" si="192">B489</f>
        <v>Serhou Guirassy (A)</v>
      </c>
    </row>
    <row r="490" spans="1:28" s="113" customFormat="1" ht="10.5" customHeight="1" x14ac:dyDescent="0.2">
      <c r="A490" s="200">
        <v>14</v>
      </c>
      <c r="B490" s="194" t="s">
        <v>274</v>
      </c>
      <c r="C490" s="194" t="s">
        <v>3</v>
      </c>
      <c r="D490" s="195" t="s">
        <v>59</v>
      </c>
      <c r="E490" s="195" t="s">
        <v>59</v>
      </c>
      <c r="F490" s="196" t="s">
        <v>59</v>
      </c>
      <c r="G490" s="196" t="s">
        <v>59</v>
      </c>
      <c r="H490" s="196"/>
      <c r="I490" s="195"/>
      <c r="J490" s="180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  <c r="X490" s="181"/>
      <c r="Y490" s="181"/>
      <c r="Z490" s="171"/>
      <c r="AB490" s="174" t="str">
        <f t="shared" si="192"/>
        <v>Silas Katompa Mvumpa (A)</v>
      </c>
    </row>
    <row r="491" spans="1:28" s="113" customFormat="1" ht="10.5" customHeight="1" x14ac:dyDescent="0.2">
      <c r="A491" s="200">
        <v>18</v>
      </c>
      <c r="B491" s="194" t="s">
        <v>489</v>
      </c>
      <c r="C491" s="194" t="s">
        <v>3</v>
      </c>
      <c r="D491" s="195" t="s">
        <v>59</v>
      </c>
      <c r="E491" s="195" t="s">
        <v>59</v>
      </c>
      <c r="F491" s="196" t="s">
        <v>59</v>
      </c>
      <c r="G491" s="196" t="s">
        <v>59</v>
      </c>
      <c r="H491" s="196"/>
      <c r="I491" s="195"/>
      <c r="J491" s="180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  <c r="Y491" s="181"/>
      <c r="Z491" s="171"/>
      <c r="AB491" s="174" t="str">
        <f t="shared" si="192"/>
        <v>Jamie Leweling</v>
      </c>
    </row>
    <row r="492" spans="1:28" s="113" customFormat="1" ht="10.5" customHeight="1" x14ac:dyDescent="0.2">
      <c r="A492" s="200">
        <v>19</v>
      </c>
      <c r="B492" s="194" t="s">
        <v>592</v>
      </c>
      <c r="C492" s="194" t="s">
        <v>3</v>
      </c>
      <c r="D492" s="195" t="s">
        <v>59</v>
      </c>
      <c r="E492" s="195" t="s">
        <v>59</v>
      </c>
      <c r="F492" s="196" t="s">
        <v>59</v>
      </c>
      <c r="G492" s="196" t="s">
        <v>59</v>
      </c>
      <c r="H492" s="196"/>
      <c r="I492" s="195"/>
      <c r="J492" s="180"/>
      <c r="K492" s="181"/>
      <c r="L492" s="181"/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  <c r="W492" s="181"/>
      <c r="X492" s="181"/>
      <c r="Y492" s="181"/>
      <c r="Z492" s="171"/>
      <c r="AB492" s="174" t="str">
        <f>B492</f>
        <v>Jovan Milošević (A)</v>
      </c>
    </row>
    <row r="493" spans="1:28" s="113" customFormat="1" ht="10.5" customHeight="1" x14ac:dyDescent="0.2">
      <c r="A493" s="200">
        <v>26</v>
      </c>
      <c r="B493" s="194" t="s">
        <v>490</v>
      </c>
      <c r="C493" s="194" t="s">
        <v>3</v>
      </c>
      <c r="D493" s="195" t="s">
        <v>59</v>
      </c>
      <c r="E493" s="195" t="s">
        <v>59</v>
      </c>
      <c r="F493" s="196" t="s">
        <v>59</v>
      </c>
      <c r="G493" s="196" t="s">
        <v>59</v>
      </c>
      <c r="H493" s="196"/>
      <c r="I493" s="195"/>
      <c r="J493" s="180"/>
      <c r="K493" s="181">
        <v>11</v>
      </c>
      <c r="L493" s="181"/>
      <c r="M493" s="181">
        <v>10</v>
      </c>
      <c r="N493" s="181">
        <v>10</v>
      </c>
      <c r="O493" s="181"/>
      <c r="P493" s="181"/>
      <c r="Q493" s="181">
        <v>9</v>
      </c>
      <c r="R493" s="181">
        <v>9</v>
      </c>
      <c r="S493" s="181"/>
      <c r="T493" s="181"/>
      <c r="U493" s="181"/>
      <c r="V493" s="181"/>
      <c r="W493" s="181"/>
      <c r="X493" s="181"/>
      <c r="Y493" s="181"/>
      <c r="Z493" s="171"/>
      <c r="AB493" s="174" t="str">
        <f t="shared" ref="AB493" si="193">B493</f>
        <v>Deniz Undav</v>
      </c>
    </row>
    <row r="494" spans="1:28" ht="15" customHeight="1" thickBot="1" x14ac:dyDescent="0.25">
      <c r="A494" s="219" t="s">
        <v>404</v>
      </c>
      <c r="B494" s="219"/>
      <c r="C494" s="219"/>
      <c r="D494" s="219"/>
      <c r="E494" s="219"/>
      <c r="F494" s="219"/>
      <c r="G494" s="219"/>
      <c r="H494" s="219"/>
      <c r="I494" s="219"/>
      <c r="J494" s="10"/>
      <c r="K494" s="175">
        <v>12</v>
      </c>
      <c r="L494" s="175">
        <v>12</v>
      </c>
      <c r="M494" s="175">
        <v>12</v>
      </c>
      <c r="N494" s="175">
        <v>12</v>
      </c>
      <c r="O494" s="175">
        <v>12</v>
      </c>
      <c r="P494" s="175">
        <v>12</v>
      </c>
      <c r="Q494" s="175">
        <v>12</v>
      </c>
      <c r="R494" s="175">
        <v>12</v>
      </c>
      <c r="S494" s="175">
        <v>12</v>
      </c>
      <c r="T494" s="175">
        <v>12</v>
      </c>
      <c r="U494" s="175">
        <v>12</v>
      </c>
      <c r="V494" s="175">
        <v>12</v>
      </c>
      <c r="W494" s="175">
        <v>12</v>
      </c>
      <c r="X494" s="175">
        <v>12</v>
      </c>
      <c r="Y494" s="175">
        <v>12</v>
      </c>
      <c r="Z494" s="216"/>
      <c r="AB494" s="174" t="str">
        <f>A494</f>
        <v>1.FC Heidenheim</v>
      </c>
    </row>
    <row r="495" spans="1:28" s="113" customFormat="1" ht="10.5" customHeight="1" x14ac:dyDescent="0.2">
      <c r="A495" s="176">
        <v>1</v>
      </c>
      <c r="B495" s="177" t="s">
        <v>491</v>
      </c>
      <c r="C495" s="177" t="s">
        <v>0</v>
      </c>
      <c r="D495" s="178" t="s">
        <v>59</v>
      </c>
      <c r="E495" s="178" t="s">
        <v>59</v>
      </c>
      <c r="F495" s="179" t="s">
        <v>59</v>
      </c>
      <c r="G495" s="179" t="s">
        <v>59</v>
      </c>
      <c r="H495" s="179"/>
      <c r="I495" s="178"/>
      <c r="J495" s="180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71"/>
      <c r="AB495" s="174" t="str">
        <f t="shared" ref="AB495:AB497" si="194">B495</f>
        <v>Kevin Müller</v>
      </c>
    </row>
    <row r="496" spans="1:28" s="113" customFormat="1" ht="10.5" customHeight="1" x14ac:dyDescent="0.2">
      <c r="A496" s="176">
        <v>22</v>
      </c>
      <c r="B496" s="177" t="s">
        <v>492</v>
      </c>
      <c r="C496" s="177" t="s">
        <v>0</v>
      </c>
      <c r="D496" s="178" t="s">
        <v>59</v>
      </c>
      <c r="E496" s="178" t="s">
        <v>59</v>
      </c>
      <c r="F496" s="179" t="s">
        <v>59</v>
      </c>
      <c r="G496" s="179" t="s">
        <v>59</v>
      </c>
      <c r="H496" s="179"/>
      <c r="I496" s="178"/>
      <c r="J496" s="180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  <c r="Y496" s="181"/>
      <c r="Z496" s="171"/>
      <c r="AB496" s="174" t="str">
        <f t="shared" ref="AB496" si="195">B496</f>
        <v>Vitus Eicher</v>
      </c>
    </row>
    <row r="497" spans="1:28" s="113" customFormat="1" ht="10.5" customHeight="1" x14ac:dyDescent="0.2">
      <c r="A497" s="176">
        <v>34</v>
      </c>
      <c r="B497" s="177" t="s">
        <v>493</v>
      </c>
      <c r="C497" s="177" t="s">
        <v>0</v>
      </c>
      <c r="D497" s="178" t="s">
        <v>59</v>
      </c>
      <c r="E497" s="178" t="s">
        <v>59</v>
      </c>
      <c r="F497" s="179" t="s">
        <v>59</v>
      </c>
      <c r="G497" s="179" t="s">
        <v>59</v>
      </c>
      <c r="H497" s="179"/>
      <c r="I497" s="178"/>
      <c r="J497" s="180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71"/>
      <c r="AB497" s="174" t="str">
        <f t="shared" si="194"/>
        <v>Paul Tschernuth (A)</v>
      </c>
    </row>
    <row r="498" spans="1:28" s="113" customFormat="1" ht="10.5" customHeight="1" x14ac:dyDescent="0.2">
      <c r="A498" s="176">
        <v>40</v>
      </c>
      <c r="B498" s="177" t="s">
        <v>494</v>
      </c>
      <c r="C498" s="177" t="s">
        <v>0</v>
      </c>
      <c r="D498" s="178" t="s">
        <v>59</v>
      </c>
      <c r="E498" s="178" t="s">
        <v>59</v>
      </c>
      <c r="F498" s="179" t="s">
        <v>59</v>
      </c>
      <c r="G498" s="179" t="s">
        <v>59</v>
      </c>
      <c r="H498" s="179"/>
      <c r="I498" s="178"/>
      <c r="J498" s="180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  <c r="Y498" s="181"/>
      <c r="Z498" s="171"/>
      <c r="AB498" s="174" t="str">
        <f t="shared" ref="AB498" si="196">B498</f>
        <v>Frank Feller</v>
      </c>
    </row>
    <row r="499" spans="1:28" s="113" customFormat="1" ht="10.5" customHeight="1" x14ac:dyDescent="0.2">
      <c r="A499" s="197">
        <v>2</v>
      </c>
      <c r="B499" s="198" t="s">
        <v>495</v>
      </c>
      <c r="C499" s="184" t="s">
        <v>1</v>
      </c>
      <c r="D499" s="185" t="s">
        <v>59</v>
      </c>
      <c r="E499" s="185" t="s">
        <v>59</v>
      </c>
      <c r="F499" s="186" t="s">
        <v>59</v>
      </c>
      <c r="G499" s="186" t="s">
        <v>59</v>
      </c>
      <c r="H499" s="186"/>
      <c r="I499" s="185"/>
      <c r="J499" s="180"/>
      <c r="K499" s="181"/>
      <c r="L499" s="181"/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  <c r="X499" s="181"/>
      <c r="Y499" s="181"/>
      <c r="Z499" s="171"/>
      <c r="AB499" s="174" t="str">
        <f t="shared" ref="AB499" si="197">B499</f>
        <v>Marnon Busch</v>
      </c>
    </row>
    <row r="500" spans="1:28" s="113" customFormat="1" ht="10.5" customHeight="1" x14ac:dyDescent="0.2">
      <c r="A500" s="197">
        <v>4</v>
      </c>
      <c r="B500" s="198" t="s">
        <v>496</v>
      </c>
      <c r="C500" s="184" t="s">
        <v>1</v>
      </c>
      <c r="D500" s="185" t="s">
        <v>59</v>
      </c>
      <c r="E500" s="185" t="s">
        <v>59</v>
      </c>
      <c r="F500" s="186" t="s">
        <v>59</v>
      </c>
      <c r="G500" s="186" t="s">
        <v>59</v>
      </c>
      <c r="H500" s="186"/>
      <c r="I500" s="185"/>
      <c r="J500" s="180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81"/>
      <c r="Y500" s="181"/>
      <c r="Z500" s="171"/>
      <c r="AB500" s="174" t="str">
        <f t="shared" ref="AB500:AB505" si="198">B500</f>
        <v>Tim Siersleben</v>
      </c>
    </row>
    <row r="501" spans="1:28" s="113" customFormat="1" ht="10.5" customHeight="1" x14ac:dyDescent="0.2">
      <c r="A501" s="197">
        <v>6</v>
      </c>
      <c r="B501" s="198" t="s">
        <v>497</v>
      </c>
      <c r="C501" s="184" t="s">
        <v>1</v>
      </c>
      <c r="D501" s="185" t="s">
        <v>59</v>
      </c>
      <c r="E501" s="185" t="s">
        <v>59</v>
      </c>
      <c r="F501" s="186" t="s">
        <v>59</v>
      </c>
      <c r="G501" s="186" t="s">
        <v>59</v>
      </c>
      <c r="H501" s="186"/>
      <c r="I501" s="185"/>
      <c r="J501" s="180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  <c r="Y501" s="181"/>
      <c r="Z501" s="171"/>
      <c r="AB501" s="174" t="str">
        <f>B501</f>
        <v>Patrick Mainka</v>
      </c>
    </row>
    <row r="502" spans="1:28" s="113" customFormat="1" ht="10.5" customHeight="1" x14ac:dyDescent="0.2">
      <c r="A502" s="197">
        <v>19</v>
      </c>
      <c r="B502" s="198" t="s">
        <v>498</v>
      </c>
      <c r="C502" s="184" t="s">
        <v>1</v>
      </c>
      <c r="D502" s="185" t="s">
        <v>59</v>
      </c>
      <c r="E502" s="185" t="s">
        <v>59</v>
      </c>
      <c r="F502" s="186" t="s">
        <v>59</v>
      </c>
      <c r="G502" s="186" t="s">
        <v>59</v>
      </c>
      <c r="H502" s="186"/>
      <c r="I502" s="185"/>
      <c r="J502" s="180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  <c r="Y502" s="181"/>
      <c r="Z502" s="171"/>
      <c r="AB502" s="174" t="str">
        <f t="shared" ref="AB502:AB504" si="199">B502</f>
        <v>Jonas Föhrenbach</v>
      </c>
    </row>
    <row r="503" spans="1:28" s="113" customFormat="1" ht="10.5" customHeight="1" x14ac:dyDescent="0.2">
      <c r="A503" s="197">
        <v>23</v>
      </c>
      <c r="B503" s="198" t="s">
        <v>589</v>
      </c>
      <c r="C503" s="184" t="s">
        <v>1</v>
      </c>
      <c r="D503" s="185" t="s">
        <v>59</v>
      </c>
      <c r="E503" s="185" t="s">
        <v>59</v>
      </c>
      <c r="F503" s="186" t="s">
        <v>59</v>
      </c>
      <c r="G503" s="186" t="s">
        <v>59</v>
      </c>
      <c r="H503" s="186"/>
      <c r="I503" s="185"/>
      <c r="J503" s="180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81"/>
      <c r="Y503" s="181"/>
      <c r="Z503" s="171"/>
      <c r="AB503" s="174" t="str">
        <f t="shared" si="199"/>
        <v>Omar Haktab Traoré</v>
      </c>
    </row>
    <row r="504" spans="1:28" s="113" customFormat="1" ht="10.5" customHeight="1" x14ac:dyDescent="0.2">
      <c r="A504" s="197">
        <v>27</v>
      </c>
      <c r="B504" s="198" t="s">
        <v>499</v>
      </c>
      <c r="C504" s="184" t="s">
        <v>1</v>
      </c>
      <c r="D504" s="185" t="s">
        <v>59</v>
      </c>
      <c r="E504" s="185" t="s">
        <v>59</v>
      </c>
      <c r="F504" s="186" t="s">
        <v>59</v>
      </c>
      <c r="G504" s="186" t="s">
        <v>59</v>
      </c>
      <c r="H504" s="186"/>
      <c r="I504" s="185"/>
      <c r="J504" s="180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  <c r="Y504" s="181"/>
      <c r="Z504" s="171"/>
      <c r="AB504" s="174" t="str">
        <f t="shared" si="199"/>
        <v>Thomas Keller</v>
      </c>
    </row>
    <row r="505" spans="1:28" s="113" customFormat="1" ht="10.5" customHeight="1" x14ac:dyDescent="0.2">
      <c r="A505" s="197">
        <v>29</v>
      </c>
      <c r="B505" s="198" t="s">
        <v>500</v>
      </c>
      <c r="C505" s="184" t="s">
        <v>1</v>
      </c>
      <c r="D505" s="185" t="s">
        <v>59</v>
      </c>
      <c r="E505" s="185" t="s">
        <v>59</v>
      </c>
      <c r="F505" s="186" t="s">
        <v>59</v>
      </c>
      <c r="G505" s="186" t="s">
        <v>59</v>
      </c>
      <c r="H505" s="186"/>
      <c r="I505" s="185"/>
      <c r="J505" s="180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  <c r="Y505" s="181"/>
      <c r="Z505" s="171"/>
      <c r="AB505" s="174" t="str">
        <f t="shared" si="198"/>
        <v>Seedy Jarju</v>
      </c>
    </row>
    <row r="506" spans="1:28" s="113" customFormat="1" ht="10.5" customHeight="1" x14ac:dyDescent="0.2">
      <c r="A506" s="197">
        <v>30</v>
      </c>
      <c r="B506" s="198" t="s">
        <v>501</v>
      </c>
      <c r="C506" s="184" t="s">
        <v>1</v>
      </c>
      <c r="D506" s="185" t="s">
        <v>59</v>
      </c>
      <c r="E506" s="185" t="s">
        <v>59</v>
      </c>
      <c r="F506" s="186" t="s">
        <v>59</v>
      </c>
      <c r="G506" s="186" t="s">
        <v>59</v>
      </c>
      <c r="H506" s="186"/>
      <c r="I506" s="185"/>
      <c r="J506" s="180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  <c r="X506" s="181"/>
      <c r="Y506" s="181"/>
      <c r="Z506" s="171"/>
      <c r="AB506" s="174" t="str">
        <f t="shared" ref="AB506" si="200">B506</f>
        <v>Norman Theuerkauf</v>
      </c>
    </row>
    <row r="507" spans="1:28" s="113" customFormat="1" ht="10.5" customHeight="1" x14ac:dyDescent="0.2">
      <c r="A507" s="199">
        <v>3</v>
      </c>
      <c r="B507" s="189" t="s">
        <v>502</v>
      </c>
      <c r="C507" s="189" t="s">
        <v>2</v>
      </c>
      <c r="D507" s="190" t="s">
        <v>59</v>
      </c>
      <c r="E507" s="190" t="s">
        <v>59</v>
      </c>
      <c r="F507" s="191" t="s">
        <v>59</v>
      </c>
      <c r="G507" s="191" t="s">
        <v>59</v>
      </c>
      <c r="H507" s="191"/>
      <c r="I507" s="190"/>
      <c r="J507" s="180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Z507" s="171"/>
      <c r="AB507" s="174" t="str">
        <f t="shared" ref="AB507:AB516" si="201">B507</f>
        <v>Jan Schöppner</v>
      </c>
    </row>
    <row r="508" spans="1:28" s="113" customFormat="1" ht="10.5" customHeight="1" x14ac:dyDescent="0.2">
      <c r="A508" s="199">
        <v>5</v>
      </c>
      <c r="B508" s="189" t="s">
        <v>503</v>
      </c>
      <c r="C508" s="189" t="s">
        <v>2</v>
      </c>
      <c r="D508" s="190" t="s">
        <v>59</v>
      </c>
      <c r="E508" s="190" t="s">
        <v>59</v>
      </c>
      <c r="F508" s="191" t="s">
        <v>59</v>
      </c>
      <c r="G508" s="191" t="s">
        <v>59</v>
      </c>
      <c r="H508" s="191"/>
      <c r="I508" s="190"/>
      <c r="J508" s="180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  <c r="X508" s="181"/>
      <c r="Y508" s="181"/>
      <c r="Z508" s="171"/>
      <c r="AB508" s="174" t="str">
        <f t="shared" ref="AB508:AB512" si="202">B508</f>
        <v>Benedikt Gimber</v>
      </c>
    </row>
    <row r="509" spans="1:28" s="113" customFormat="1" ht="10.5" customHeight="1" x14ac:dyDescent="0.2">
      <c r="A509" s="199">
        <v>8</v>
      </c>
      <c r="B509" s="189" t="s">
        <v>590</v>
      </c>
      <c r="C509" s="189" t="s">
        <v>2</v>
      </c>
      <c r="D509" s="190" t="s">
        <v>59</v>
      </c>
      <c r="E509" s="190" t="s">
        <v>59</v>
      </c>
      <c r="F509" s="191" t="s">
        <v>59</v>
      </c>
      <c r="G509" s="191" t="s">
        <v>59</v>
      </c>
      <c r="H509" s="191"/>
      <c r="I509" s="190"/>
      <c r="J509" s="180"/>
      <c r="K509" s="181"/>
      <c r="L509" s="181"/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  <c r="Y509" s="181"/>
      <c r="Z509" s="171"/>
      <c r="AB509" s="174" t="str">
        <f t="shared" si="202"/>
        <v>Eren Sami Dinkçi</v>
      </c>
    </row>
    <row r="510" spans="1:28" s="113" customFormat="1" ht="10.5" customHeight="1" x14ac:dyDescent="0.2">
      <c r="A510" s="199">
        <v>11</v>
      </c>
      <c r="B510" s="189" t="s">
        <v>504</v>
      </c>
      <c r="C510" s="189" t="s">
        <v>2</v>
      </c>
      <c r="D510" s="190" t="s">
        <v>59</v>
      </c>
      <c r="E510" s="190" t="s">
        <v>59</v>
      </c>
      <c r="F510" s="191" t="s">
        <v>59</v>
      </c>
      <c r="G510" s="191" t="s">
        <v>59</v>
      </c>
      <c r="H510" s="191"/>
      <c r="I510" s="190"/>
      <c r="J510" s="180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1"/>
      <c r="Y510" s="181"/>
      <c r="Z510" s="171"/>
      <c r="AB510" s="174" t="str">
        <f t="shared" si="202"/>
        <v>Denis Thomalla</v>
      </c>
    </row>
    <row r="511" spans="1:28" s="113" customFormat="1" ht="10.5" customHeight="1" x14ac:dyDescent="0.2">
      <c r="A511" s="199">
        <v>16</v>
      </c>
      <c r="B511" s="189" t="s">
        <v>505</v>
      </c>
      <c r="C511" s="189" t="s">
        <v>2</v>
      </c>
      <c r="D511" s="190" t="s">
        <v>59</v>
      </c>
      <c r="E511" s="190" t="s">
        <v>59</v>
      </c>
      <c r="F511" s="191" t="s">
        <v>59</v>
      </c>
      <c r="G511" s="191" t="s">
        <v>59</v>
      </c>
      <c r="H511" s="191"/>
      <c r="I511" s="190"/>
      <c r="J511" s="180"/>
      <c r="K511" s="181"/>
      <c r="L511" s="181"/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  <c r="Y511" s="181"/>
      <c r="Z511" s="171"/>
      <c r="AB511" s="174" t="str">
        <f t="shared" si="202"/>
        <v>Kevin Sessa</v>
      </c>
    </row>
    <row r="512" spans="1:28" s="113" customFormat="1" ht="10.5" customHeight="1" x14ac:dyDescent="0.2">
      <c r="A512" s="199">
        <v>17</v>
      </c>
      <c r="B512" s="189" t="s">
        <v>506</v>
      </c>
      <c r="C512" s="189" t="s">
        <v>2</v>
      </c>
      <c r="D512" s="190" t="s">
        <v>59</v>
      </c>
      <c r="E512" s="190" t="s">
        <v>59</v>
      </c>
      <c r="F512" s="191" t="s">
        <v>59</v>
      </c>
      <c r="G512" s="191" t="s">
        <v>59</v>
      </c>
      <c r="H512" s="191"/>
      <c r="I512" s="190"/>
      <c r="J512" s="180"/>
      <c r="K512" s="181"/>
      <c r="L512" s="181"/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  <c r="W512" s="181"/>
      <c r="X512" s="181"/>
      <c r="Y512" s="181"/>
      <c r="Z512" s="171"/>
      <c r="AB512" s="174" t="str">
        <f t="shared" si="202"/>
        <v>Florian Pick</v>
      </c>
    </row>
    <row r="513" spans="1:28" s="113" customFormat="1" ht="10.5" customHeight="1" x14ac:dyDescent="0.2">
      <c r="A513" s="199">
        <v>21</v>
      </c>
      <c r="B513" s="189" t="s">
        <v>507</v>
      </c>
      <c r="C513" s="189" t="s">
        <v>2</v>
      </c>
      <c r="D513" s="190" t="s">
        <v>59</v>
      </c>
      <c r="E513" s="190" t="s">
        <v>59</v>
      </c>
      <c r="F513" s="191" t="s">
        <v>59</v>
      </c>
      <c r="G513" s="191" t="s">
        <v>59</v>
      </c>
      <c r="H513" s="191"/>
      <c r="I513" s="190"/>
      <c r="J513" s="180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Z513" s="171"/>
      <c r="AB513" s="174" t="str">
        <f t="shared" ref="AB513" si="203">B513</f>
        <v>Adrian Beck</v>
      </c>
    </row>
    <row r="514" spans="1:28" s="113" customFormat="1" ht="10.5" customHeight="1" x14ac:dyDescent="0.2">
      <c r="A514" s="199">
        <v>33</v>
      </c>
      <c r="B514" s="189" t="s">
        <v>508</v>
      </c>
      <c r="C514" s="189" t="s">
        <v>2</v>
      </c>
      <c r="D514" s="190" t="s">
        <v>59</v>
      </c>
      <c r="E514" s="190" t="s">
        <v>59</v>
      </c>
      <c r="F514" s="191" t="s">
        <v>59</v>
      </c>
      <c r="G514" s="191" t="s">
        <v>59</v>
      </c>
      <c r="H514" s="191"/>
      <c r="I514" s="190"/>
      <c r="J514" s="180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  <c r="Y514" s="181"/>
      <c r="Z514" s="171"/>
      <c r="AB514" s="174" t="str">
        <f t="shared" si="201"/>
        <v>Lennard Maloney</v>
      </c>
    </row>
    <row r="515" spans="1:28" s="113" customFormat="1" ht="10.5" customHeight="1" x14ac:dyDescent="0.2">
      <c r="A515" s="199">
        <v>36</v>
      </c>
      <c r="B515" s="189" t="s">
        <v>591</v>
      </c>
      <c r="C515" s="189" t="s">
        <v>2</v>
      </c>
      <c r="D515" s="190" t="s">
        <v>59</v>
      </c>
      <c r="E515" s="190" t="s">
        <v>59</v>
      </c>
      <c r="F515" s="191" t="s">
        <v>59</v>
      </c>
      <c r="G515" s="191" t="s">
        <v>59</v>
      </c>
      <c r="H515" s="191"/>
      <c r="I515" s="190"/>
      <c r="J515" s="180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  <c r="Y515" s="181"/>
      <c r="Z515" s="171"/>
      <c r="AB515" s="174" t="str">
        <f t="shared" ref="AB515" si="204">B515</f>
        <v>Luka Janeš</v>
      </c>
    </row>
    <row r="516" spans="1:28" s="113" customFormat="1" ht="10.5" customHeight="1" x14ac:dyDescent="0.2">
      <c r="A516" s="199">
        <v>37</v>
      </c>
      <c r="B516" s="189" t="s">
        <v>509</v>
      </c>
      <c r="C516" s="189" t="s">
        <v>2</v>
      </c>
      <c r="D516" s="190" t="s">
        <v>59</v>
      </c>
      <c r="E516" s="190" t="s">
        <v>59</v>
      </c>
      <c r="F516" s="191" t="s">
        <v>59</v>
      </c>
      <c r="G516" s="191" t="s">
        <v>59</v>
      </c>
      <c r="H516" s="191"/>
      <c r="I516" s="190"/>
      <c r="J516" s="180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71"/>
      <c r="AB516" s="174" t="str">
        <f t="shared" si="201"/>
        <v>Jan-Niklas Beste</v>
      </c>
    </row>
    <row r="517" spans="1:28" s="113" customFormat="1" ht="10.5" customHeight="1" x14ac:dyDescent="0.2">
      <c r="A517" s="200">
        <v>9</v>
      </c>
      <c r="B517" s="194" t="s">
        <v>510</v>
      </c>
      <c r="C517" s="194" t="s">
        <v>3</v>
      </c>
      <c r="D517" s="195" t="s">
        <v>59</v>
      </c>
      <c r="E517" s="195" t="s">
        <v>59</v>
      </c>
      <c r="F517" s="196" t="s">
        <v>59</v>
      </c>
      <c r="G517" s="196" t="s">
        <v>59</v>
      </c>
      <c r="H517" s="196"/>
      <c r="I517" s="195"/>
      <c r="J517" s="180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81"/>
      <c r="Z517" s="171"/>
      <c r="AB517" s="174" t="str">
        <f t="shared" ref="AB517" si="205">B517</f>
        <v>Stefan Schimmer</v>
      </c>
    </row>
    <row r="518" spans="1:28" s="113" customFormat="1" ht="10.5" customHeight="1" x14ac:dyDescent="0.2">
      <c r="A518" s="200">
        <v>10</v>
      </c>
      <c r="B518" s="194" t="s">
        <v>511</v>
      </c>
      <c r="C518" s="194" t="s">
        <v>3</v>
      </c>
      <c r="D518" s="195" t="s">
        <v>59</v>
      </c>
      <c r="E518" s="195" t="s">
        <v>59</v>
      </c>
      <c r="F518" s="196" t="s">
        <v>59</v>
      </c>
      <c r="G518" s="196" t="s">
        <v>59</v>
      </c>
      <c r="H518" s="196"/>
      <c r="I518" s="195"/>
      <c r="J518" s="180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1"/>
      <c r="Y518" s="181"/>
      <c r="Z518" s="171"/>
      <c r="AB518" s="174" t="str">
        <f t="shared" ref="AB518" si="206">B518</f>
        <v>Tim Kleindienst</v>
      </c>
    </row>
    <row r="519" spans="1:28" s="113" customFormat="1" ht="10.5" customHeight="1" x14ac:dyDescent="0.2">
      <c r="A519" s="200">
        <v>18</v>
      </c>
      <c r="B519" s="194" t="s">
        <v>512</v>
      </c>
      <c r="C519" s="194" t="s">
        <v>3</v>
      </c>
      <c r="D519" s="195" t="s">
        <v>59</v>
      </c>
      <c r="E519" s="195" t="s">
        <v>59</v>
      </c>
      <c r="F519" s="196" t="s">
        <v>59</v>
      </c>
      <c r="G519" s="196" t="s">
        <v>59</v>
      </c>
      <c r="H519" s="196"/>
      <c r="I519" s="195"/>
      <c r="J519" s="180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  <c r="Y519" s="181"/>
      <c r="Z519" s="171"/>
      <c r="AB519" s="174" t="str">
        <f t="shared" ref="AB519:AB522" si="207">B519</f>
        <v>Marvin Pieringer</v>
      </c>
    </row>
    <row r="520" spans="1:28" s="113" customFormat="1" ht="10.5" customHeight="1" x14ac:dyDescent="0.2">
      <c r="A520" s="200">
        <v>20</v>
      </c>
      <c r="B520" s="194" t="s">
        <v>513</v>
      </c>
      <c r="C520" s="194" t="s">
        <v>3</v>
      </c>
      <c r="D520" s="195" t="s">
        <v>59</v>
      </c>
      <c r="E520" s="195" t="s">
        <v>59</v>
      </c>
      <c r="F520" s="196" t="s">
        <v>59</v>
      </c>
      <c r="G520" s="196" t="s">
        <v>59</v>
      </c>
      <c r="H520" s="196"/>
      <c r="I520" s="195"/>
      <c r="J520" s="180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  <c r="Y520" s="181"/>
      <c r="Z520" s="171"/>
      <c r="AB520" s="174" t="str">
        <f t="shared" si="207"/>
        <v>Nikola Dovedan (A)</v>
      </c>
    </row>
    <row r="521" spans="1:28" s="113" customFormat="1" ht="10.5" customHeight="1" x14ac:dyDescent="0.2">
      <c r="A521" s="200">
        <v>24</v>
      </c>
      <c r="B521" s="194" t="s">
        <v>514</v>
      </c>
      <c r="C521" s="194" t="s">
        <v>3</v>
      </c>
      <c r="D521" s="195" t="s">
        <v>59</v>
      </c>
      <c r="E521" s="195" t="s">
        <v>59</v>
      </c>
      <c r="F521" s="196" t="s">
        <v>59</v>
      </c>
      <c r="G521" s="196" t="s">
        <v>59</v>
      </c>
      <c r="H521" s="196"/>
      <c r="I521" s="195"/>
      <c r="J521" s="180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  <c r="Y521" s="181"/>
      <c r="Z521" s="171"/>
      <c r="AB521" s="174" t="str">
        <f t="shared" ref="AB521" si="208">B521</f>
        <v>Christian Kühlwetter</v>
      </c>
    </row>
    <row r="522" spans="1:28" s="113" customFormat="1" ht="10.5" customHeight="1" x14ac:dyDescent="0.2">
      <c r="A522" s="200">
        <v>44</v>
      </c>
      <c r="B522" s="194" t="s">
        <v>515</v>
      </c>
      <c r="C522" s="194" t="s">
        <v>3</v>
      </c>
      <c r="D522" s="195" t="s">
        <v>59</v>
      </c>
      <c r="E522" s="195" t="s">
        <v>59</v>
      </c>
      <c r="F522" s="196" t="s">
        <v>59</v>
      </c>
      <c r="G522" s="196" t="s">
        <v>59</v>
      </c>
      <c r="H522" s="196"/>
      <c r="I522" s="195"/>
      <c r="J522" s="180"/>
      <c r="K522" s="181"/>
      <c r="L522" s="181"/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  <c r="W522" s="181"/>
      <c r="X522" s="181"/>
      <c r="Y522" s="181"/>
      <c r="Z522" s="171"/>
      <c r="AB522" s="174" t="str">
        <f t="shared" si="207"/>
        <v>Elidon Qenaj</v>
      </c>
    </row>
    <row r="523" spans="1:28" ht="15" customHeight="1" thickBot="1" x14ac:dyDescent="0.25">
      <c r="A523" s="219" t="s">
        <v>405</v>
      </c>
      <c r="B523" s="219"/>
      <c r="C523" s="219"/>
      <c r="D523" s="219"/>
      <c r="E523" s="219"/>
      <c r="F523" s="219"/>
      <c r="G523" s="219"/>
      <c r="H523" s="219"/>
      <c r="I523" s="219"/>
      <c r="J523" s="10"/>
      <c r="K523" s="175">
        <v>12</v>
      </c>
      <c r="L523" s="175">
        <v>12</v>
      </c>
      <c r="M523" s="175">
        <v>12</v>
      </c>
      <c r="N523" s="175">
        <v>12</v>
      </c>
      <c r="O523" s="175">
        <v>12</v>
      </c>
      <c r="P523" s="175">
        <v>12</v>
      </c>
      <c r="Q523" s="175">
        <v>12</v>
      </c>
      <c r="R523" s="175">
        <v>12</v>
      </c>
      <c r="S523" s="175">
        <v>12</v>
      </c>
      <c r="T523" s="175">
        <v>12</v>
      </c>
      <c r="U523" s="175">
        <v>12</v>
      </c>
      <c r="V523" s="175">
        <v>12</v>
      </c>
      <c r="W523" s="175">
        <v>12</v>
      </c>
      <c r="X523" s="175">
        <v>12</v>
      </c>
      <c r="Y523" s="175">
        <v>12</v>
      </c>
      <c r="Z523" s="216"/>
      <c r="AB523" s="174" t="str">
        <f>A523</f>
        <v>SV Darmstadt 98</v>
      </c>
    </row>
    <row r="524" spans="1:28" s="113" customFormat="1" ht="10.5" customHeight="1" x14ac:dyDescent="0.2">
      <c r="A524" s="176">
        <v>1</v>
      </c>
      <c r="B524" s="177" t="s">
        <v>516</v>
      </c>
      <c r="C524" s="177" t="s">
        <v>0</v>
      </c>
      <c r="D524" s="178" t="s">
        <v>59</v>
      </c>
      <c r="E524" s="178" t="s">
        <v>59</v>
      </c>
      <c r="F524" s="179" t="s">
        <v>59</v>
      </c>
      <c r="G524" s="179" t="s">
        <v>59</v>
      </c>
      <c r="H524" s="179"/>
      <c r="I524" s="178"/>
      <c r="J524" s="180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71"/>
      <c r="AB524" s="174" t="str">
        <f t="shared" ref="AB524" si="209">B524</f>
        <v>Marcel Schuhen</v>
      </c>
    </row>
    <row r="525" spans="1:28" s="113" customFormat="1" ht="10.5" customHeight="1" x14ac:dyDescent="0.2">
      <c r="A525" s="176">
        <v>13</v>
      </c>
      <c r="B525" s="177" t="s">
        <v>517</v>
      </c>
      <c r="C525" s="177" t="s">
        <v>0</v>
      </c>
      <c r="D525" s="178" t="s">
        <v>59</v>
      </c>
      <c r="E525" s="178" t="s">
        <v>59</v>
      </c>
      <c r="F525" s="179" t="s">
        <v>59</v>
      </c>
      <c r="G525" s="179" t="s">
        <v>59</v>
      </c>
      <c r="H525" s="179"/>
      <c r="I525" s="178"/>
      <c r="J525" s="180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71"/>
      <c r="AB525" s="174" t="str">
        <f t="shared" ref="AB525:AB526" si="210">B525</f>
        <v>Morten Behrens</v>
      </c>
    </row>
    <row r="526" spans="1:28" s="113" customFormat="1" ht="10.5" customHeight="1" x14ac:dyDescent="0.2">
      <c r="A526" s="176">
        <v>30</v>
      </c>
      <c r="B526" s="177" t="s">
        <v>518</v>
      </c>
      <c r="C526" s="177" t="s">
        <v>0</v>
      </c>
      <c r="D526" s="178" t="s">
        <v>59</v>
      </c>
      <c r="E526" s="178" t="s">
        <v>59</v>
      </c>
      <c r="F526" s="179" t="s">
        <v>59</v>
      </c>
      <c r="G526" s="179" t="s">
        <v>59</v>
      </c>
      <c r="H526" s="179"/>
      <c r="I526" s="178"/>
      <c r="J526" s="180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71"/>
      <c r="AB526" s="174" t="str">
        <f t="shared" si="210"/>
        <v>Alexander Brunst</v>
      </c>
    </row>
    <row r="527" spans="1:28" s="113" customFormat="1" ht="10.5" customHeight="1" x14ac:dyDescent="0.2">
      <c r="A527" s="176">
        <v>45</v>
      </c>
      <c r="B527" s="177" t="s">
        <v>519</v>
      </c>
      <c r="C527" s="177" t="s">
        <v>0</v>
      </c>
      <c r="D527" s="178" t="s">
        <v>59</v>
      </c>
      <c r="E527" s="178" t="s">
        <v>59</v>
      </c>
      <c r="F527" s="179" t="s">
        <v>59</v>
      </c>
      <c r="G527" s="179" t="s">
        <v>59</v>
      </c>
      <c r="H527" s="179"/>
      <c r="I527" s="178"/>
      <c r="J527" s="180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71"/>
      <c r="AB527" s="174" t="str">
        <f t="shared" ref="AB527" si="211">B527</f>
        <v>Max Wendt</v>
      </c>
    </row>
    <row r="528" spans="1:28" ht="10.5" customHeight="1" x14ac:dyDescent="0.2">
      <c r="A528" s="197">
        <v>3</v>
      </c>
      <c r="B528" s="198" t="s">
        <v>520</v>
      </c>
      <c r="C528" s="184" t="s">
        <v>1</v>
      </c>
      <c r="D528" s="185" t="s">
        <v>59</v>
      </c>
      <c r="E528" s="185" t="s">
        <v>59</v>
      </c>
      <c r="F528" s="186" t="s">
        <v>59</v>
      </c>
      <c r="G528" s="186" t="s">
        <v>59</v>
      </c>
      <c r="H528" s="186"/>
      <c r="I528" s="185"/>
      <c r="J528" s="180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AB528" s="174" t="str">
        <f t="shared" ref="AB528:AB529" si="212">B528</f>
        <v>Thomas Isherwood (A)</v>
      </c>
    </row>
    <row r="529" spans="1:28" ht="10.5" customHeight="1" x14ac:dyDescent="0.2">
      <c r="A529" s="197">
        <v>4</v>
      </c>
      <c r="B529" s="198" t="s">
        <v>521</v>
      </c>
      <c r="C529" s="184" t="s">
        <v>1</v>
      </c>
      <c r="D529" s="185" t="s">
        <v>59</v>
      </c>
      <c r="E529" s="185" t="s">
        <v>59</v>
      </c>
      <c r="F529" s="186" t="s">
        <v>59</v>
      </c>
      <c r="G529" s="186" t="s">
        <v>59</v>
      </c>
      <c r="H529" s="186"/>
      <c r="I529" s="185"/>
      <c r="J529" s="180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AB529" s="174" t="str">
        <f t="shared" si="212"/>
        <v>Christoph Zimmermann</v>
      </c>
    </row>
    <row r="530" spans="1:28" ht="10.5" customHeight="1" x14ac:dyDescent="0.2">
      <c r="A530" s="197">
        <v>5</v>
      </c>
      <c r="B530" s="198" t="s">
        <v>522</v>
      </c>
      <c r="C530" s="184" t="s">
        <v>1</v>
      </c>
      <c r="D530" s="185" t="s">
        <v>59</v>
      </c>
      <c r="E530" s="185" t="s">
        <v>59</v>
      </c>
      <c r="F530" s="186" t="s">
        <v>59</v>
      </c>
      <c r="G530" s="186" t="s">
        <v>59</v>
      </c>
      <c r="H530" s="186"/>
      <c r="I530" s="185"/>
      <c r="J530" s="180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AB530" s="174" t="str">
        <f t="shared" ref="AB530:AB531" si="213">B530</f>
        <v>Matej Maglica (A)</v>
      </c>
    </row>
    <row r="531" spans="1:28" ht="10.5" customHeight="1" x14ac:dyDescent="0.2">
      <c r="A531" s="197">
        <v>14</v>
      </c>
      <c r="B531" s="198" t="s">
        <v>523</v>
      </c>
      <c r="C531" s="184" t="s">
        <v>1</v>
      </c>
      <c r="D531" s="185" t="s">
        <v>59</v>
      </c>
      <c r="E531" s="185" t="s">
        <v>59</v>
      </c>
      <c r="F531" s="186" t="s">
        <v>59</v>
      </c>
      <c r="G531" s="186" t="s">
        <v>59</v>
      </c>
      <c r="H531" s="186"/>
      <c r="I531" s="185"/>
      <c r="J531" s="180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AB531" s="174" t="str">
        <f t="shared" si="213"/>
        <v>Christoph Klarer (A)</v>
      </c>
    </row>
    <row r="532" spans="1:28" ht="10.5" customHeight="1" x14ac:dyDescent="0.2">
      <c r="A532" s="197">
        <v>19</v>
      </c>
      <c r="B532" s="198" t="s">
        <v>524</v>
      </c>
      <c r="C532" s="184" t="s">
        <v>1</v>
      </c>
      <c r="D532" s="185" t="s">
        <v>59</v>
      </c>
      <c r="E532" s="185" t="s">
        <v>59</v>
      </c>
      <c r="F532" s="186" t="s">
        <v>59</v>
      </c>
      <c r="G532" s="186" t="s">
        <v>59</v>
      </c>
      <c r="H532" s="186"/>
      <c r="I532" s="185"/>
      <c r="J532" s="180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AB532" s="174" t="str">
        <f>B532</f>
        <v>Emir Karic (A)</v>
      </c>
    </row>
    <row r="533" spans="1:28" ht="10.5" customHeight="1" x14ac:dyDescent="0.2">
      <c r="A533" s="197">
        <v>20</v>
      </c>
      <c r="B533" s="198" t="s">
        <v>525</v>
      </c>
      <c r="C533" s="184" t="s">
        <v>1</v>
      </c>
      <c r="D533" s="185" t="s">
        <v>59</v>
      </c>
      <c r="E533" s="185" t="s">
        <v>59</v>
      </c>
      <c r="F533" s="186" t="s">
        <v>59</v>
      </c>
      <c r="G533" s="186" t="s">
        <v>59</v>
      </c>
      <c r="H533" s="186"/>
      <c r="I533" s="185"/>
      <c r="J533" s="180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AB533" s="174" t="str">
        <f>B533</f>
        <v>Jannik Müller</v>
      </c>
    </row>
    <row r="534" spans="1:28" ht="10.5" customHeight="1" x14ac:dyDescent="0.2">
      <c r="A534" s="197">
        <v>26</v>
      </c>
      <c r="B534" s="198" t="s">
        <v>526</v>
      </c>
      <c r="C534" s="184" t="s">
        <v>1</v>
      </c>
      <c r="D534" s="185" t="s">
        <v>59</v>
      </c>
      <c r="E534" s="185" t="s">
        <v>59</v>
      </c>
      <c r="F534" s="186" t="s">
        <v>59</v>
      </c>
      <c r="G534" s="186" t="s">
        <v>59</v>
      </c>
      <c r="H534" s="186"/>
      <c r="I534" s="185"/>
      <c r="J534" s="180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AB534" s="174" t="str">
        <f t="shared" ref="AB534" si="214">B534</f>
        <v>Matthias Bader</v>
      </c>
    </row>
    <row r="535" spans="1:28" ht="10.5" customHeight="1" x14ac:dyDescent="0.2">
      <c r="A535" s="197">
        <v>32</v>
      </c>
      <c r="B535" s="198" t="s">
        <v>527</v>
      </c>
      <c r="C535" s="184" t="s">
        <v>1</v>
      </c>
      <c r="D535" s="185" t="s">
        <v>59</v>
      </c>
      <c r="E535" s="185" t="s">
        <v>59</v>
      </c>
      <c r="F535" s="186" t="s">
        <v>59</v>
      </c>
      <c r="G535" s="186" t="s">
        <v>59</v>
      </c>
      <c r="H535" s="186"/>
      <c r="I535" s="185"/>
      <c r="J535" s="180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AB535" s="174" t="str">
        <f>B535</f>
        <v>Fabian Holland</v>
      </c>
    </row>
    <row r="536" spans="1:28" ht="10.5" customHeight="1" x14ac:dyDescent="0.2">
      <c r="A536" s="197">
        <v>38</v>
      </c>
      <c r="B536" s="198" t="s">
        <v>528</v>
      </c>
      <c r="C536" s="184" t="s">
        <v>1</v>
      </c>
      <c r="D536" s="185" t="s">
        <v>59</v>
      </c>
      <c r="E536" s="185" t="s">
        <v>59</v>
      </c>
      <c r="F536" s="186" t="s">
        <v>59</v>
      </c>
      <c r="G536" s="186" t="s">
        <v>59</v>
      </c>
      <c r="H536" s="186"/>
      <c r="I536" s="185"/>
      <c r="J536" s="180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AB536" s="174" t="str">
        <f t="shared" ref="AB536" si="215">B536</f>
        <v>Clemens Riedel</v>
      </c>
    </row>
    <row r="537" spans="1:28" ht="10.5" customHeight="1" x14ac:dyDescent="0.2">
      <c r="A537" s="199">
        <v>6</v>
      </c>
      <c r="B537" s="189" t="s">
        <v>529</v>
      </c>
      <c r="C537" s="189" t="s">
        <v>2</v>
      </c>
      <c r="D537" s="190" t="s">
        <v>59</v>
      </c>
      <c r="E537" s="190" t="s">
        <v>59</v>
      </c>
      <c r="F537" s="191" t="s">
        <v>59</v>
      </c>
      <c r="G537" s="191" t="s">
        <v>59</v>
      </c>
      <c r="H537" s="191"/>
      <c r="I537" s="190"/>
      <c r="J537" s="180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AB537" s="174" t="str">
        <f t="shared" ref="AB537:AB540" si="216">B537</f>
        <v>Marvin Mehlem</v>
      </c>
    </row>
    <row r="538" spans="1:28" ht="10.5" customHeight="1" x14ac:dyDescent="0.2">
      <c r="A538" s="199">
        <v>7</v>
      </c>
      <c r="B538" s="189" t="s">
        <v>530</v>
      </c>
      <c r="C538" s="189" t="s">
        <v>2</v>
      </c>
      <c r="D538" s="190" t="s">
        <v>59</v>
      </c>
      <c r="E538" s="190" t="s">
        <v>59</v>
      </c>
      <c r="F538" s="191" t="s">
        <v>59</v>
      </c>
      <c r="G538" s="191" t="s">
        <v>59</v>
      </c>
      <c r="H538" s="191"/>
      <c r="I538" s="190"/>
      <c r="J538" s="180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AB538" s="174" t="str">
        <f t="shared" si="216"/>
        <v>Braydon Manu (A)</v>
      </c>
    </row>
    <row r="539" spans="1:28" ht="10.5" customHeight="1" x14ac:dyDescent="0.2">
      <c r="A539" s="199">
        <v>8</v>
      </c>
      <c r="B539" s="189" t="s">
        <v>531</v>
      </c>
      <c r="C539" s="189" t="s">
        <v>2</v>
      </c>
      <c r="D539" s="190" t="s">
        <v>59</v>
      </c>
      <c r="E539" s="190" t="s">
        <v>59</v>
      </c>
      <c r="F539" s="191" t="s">
        <v>59</v>
      </c>
      <c r="G539" s="191" t="s">
        <v>59</v>
      </c>
      <c r="H539" s="191"/>
      <c r="I539" s="190"/>
      <c r="J539" s="180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  <c r="Y539" s="181"/>
      <c r="AB539" s="174" t="str">
        <f t="shared" si="216"/>
        <v>Fabian Schnellhardt</v>
      </c>
    </row>
    <row r="540" spans="1:28" ht="10.5" customHeight="1" x14ac:dyDescent="0.2">
      <c r="A540" s="199">
        <v>11</v>
      </c>
      <c r="B540" s="189" t="s">
        <v>532</v>
      </c>
      <c r="C540" s="189" t="s">
        <v>2</v>
      </c>
      <c r="D540" s="190" t="s">
        <v>59</v>
      </c>
      <c r="E540" s="190" t="s">
        <v>59</v>
      </c>
      <c r="F540" s="191" t="s">
        <v>59</v>
      </c>
      <c r="G540" s="191" t="s">
        <v>59</v>
      </c>
      <c r="H540" s="191"/>
      <c r="I540" s="190"/>
      <c r="J540" s="180"/>
      <c r="K540" s="181"/>
      <c r="L540" s="181"/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  <c r="W540" s="181"/>
      <c r="X540" s="181"/>
      <c r="Y540" s="181"/>
      <c r="AB540" s="174" t="str">
        <f t="shared" si="216"/>
        <v>Tobias Kempe</v>
      </c>
    </row>
    <row r="541" spans="1:28" ht="10.5" customHeight="1" x14ac:dyDescent="0.2">
      <c r="A541" s="199">
        <v>15</v>
      </c>
      <c r="B541" s="189" t="s">
        <v>533</v>
      </c>
      <c r="C541" s="189" t="s">
        <v>2</v>
      </c>
      <c r="D541" s="190" t="s">
        <v>59</v>
      </c>
      <c r="E541" s="190" t="s">
        <v>59</v>
      </c>
      <c r="F541" s="191" t="s">
        <v>59</v>
      </c>
      <c r="G541" s="191" t="s">
        <v>59</v>
      </c>
      <c r="H541" s="191"/>
      <c r="I541" s="190"/>
      <c r="J541" s="180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AB541" s="174" t="str">
        <f t="shared" ref="AB541:AB548" si="217">B541</f>
        <v>Fabian Nürnberger</v>
      </c>
    </row>
    <row r="542" spans="1:28" ht="10.5" customHeight="1" x14ac:dyDescent="0.2">
      <c r="A542" s="199">
        <v>16</v>
      </c>
      <c r="B542" s="189" t="s">
        <v>534</v>
      </c>
      <c r="C542" s="189" t="s">
        <v>2</v>
      </c>
      <c r="D542" s="190" t="s">
        <v>59</v>
      </c>
      <c r="E542" s="190" t="s">
        <v>59</v>
      </c>
      <c r="F542" s="191" t="s">
        <v>59</v>
      </c>
      <c r="G542" s="191" t="s">
        <v>59</v>
      </c>
      <c r="H542" s="191"/>
      <c r="I542" s="190"/>
      <c r="J542" s="180"/>
      <c r="K542" s="181"/>
      <c r="L542" s="181"/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  <c r="W542" s="181"/>
      <c r="X542" s="181"/>
      <c r="Y542" s="181"/>
      <c r="AB542" s="174" t="str">
        <f t="shared" ref="AB542:AB543" si="218">B542</f>
        <v>Andreas Müller</v>
      </c>
    </row>
    <row r="543" spans="1:28" ht="10.5" customHeight="1" x14ac:dyDescent="0.2">
      <c r="A543" s="199">
        <v>17</v>
      </c>
      <c r="B543" s="189" t="s">
        <v>461</v>
      </c>
      <c r="C543" s="189" t="s">
        <v>2</v>
      </c>
      <c r="D543" s="190" t="s">
        <v>59</v>
      </c>
      <c r="E543" s="190" t="s">
        <v>59</v>
      </c>
      <c r="F543" s="191" t="s">
        <v>59</v>
      </c>
      <c r="G543" s="191" t="s">
        <v>59</v>
      </c>
      <c r="H543" s="191"/>
      <c r="I543" s="190"/>
      <c r="J543" s="180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  <c r="Y543" s="181"/>
      <c r="AB543" s="174" t="str">
        <f t="shared" si="218"/>
        <v>Julian Justvan</v>
      </c>
    </row>
    <row r="544" spans="1:28" ht="10.5" customHeight="1" x14ac:dyDescent="0.2">
      <c r="A544" s="199">
        <v>18</v>
      </c>
      <c r="B544" s="189" t="s">
        <v>535</v>
      </c>
      <c r="C544" s="189" t="s">
        <v>2</v>
      </c>
      <c r="D544" s="190" t="s">
        <v>59</v>
      </c>
      <c r="E544" s="190" t="s">
        <v>59</v>
      </c>
      <c r="F544" s="191" t="s">
        <v>59</v>
      </c>
      <c r="G544" s="191" t="s">
        <v>59</v>
      </c>
      <c r="H544" s="191"/>
      <c r="I544" s="190"/>
      <c r="J544" s="180"/>
      <c r="K544" s="181"/>
      <c r="L544" s="181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  <c r="Y544" s="181"/>
      <c r="AB544" s="174" t="str">
        <f t="shared" si="217"/>
        <v>Mathias Honsak (A)</v>
      </c>
    </row>
    <row r="545" spans="1:28" ht="10.5" customHeight="1" x14ac:dyDescent="0.2">
      <c r="A545" s="199">
        <v>23</v>
      </c>
      <c r="B545" s="189" t="s">
        <v>536</v>
      </c>
      <c r="C545" s="189" t="s">
        <v>2</v>
      </c>
      <c r="D545" s="190" t="s">
        <v>59</v>
      </c>
      <c r="E545" s="190" t="s">
        <v>59</v>
      </c>
      <c r="F545" s="191" t="s">
        <v>59</v>
      </c>
      <c r="G545" s="191" t="s">
        <v>59</v>
      </c>
      <c r="H545" s="191"/>
      <c r="I545" s="190"/>
      <c r="J545" s="180"/>
      <c r="K545" s="181"/>
      <c r="L545" s="181"/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  <c r="W545" s="181"/>
      <c r="X545" s="181"/>
      <c r="Y545" s="181"/>
      <c r="AB545" s="174" t="str">
        <f t="shared" ref="AB545" si="219">B545</f>
        <v>Klaus Gjasula (A)</v>
      </c>
    </row>
    <row r="546" spans="1:28" ht="10.5" customHeight="1" x14ac:dyDescent="0.2">
      <c r="A546" s="199">
        <v>28</v>
      </c>
      <c r="B546" s="189" t="s">
        <v>352</v>
      </c>
      <c r="C546" s="189" t="s">
        <v>2</v>
      </c>
      <c r="D546" s="190" t="s">
        <v>59</v>
      </c>
      <c r="E546" s="190" t="s">
        <v>59</v>
      </c>
      <c r="F546" s="191" t="s">
        <v>59</v>
      </c>
      <c r="G546" s="191" t="s">
        <v>59</v>
      </c>
      <c r="H546" s="191"/>
      <c r="I546" s="190"/>
      <c r="J546" s="180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  <c r="Y546" s="181"/>
      <c r="AB546" s="174" t="str">
        <f t="shared" si="217"/>
        <v>Bartol Franjic (A)</v>
      </c>
    </row>
    <row r="547" spans="1:28" ht="10.5" customHeight="1" x14ac:dyDescent="0.2">
      <c r="A547" s="200">
        <v>9</v>
      </c>
      <c r="B547" s="194" t="s">
        <v>537</v>
      </c>
      <c r="C547" s="194" t="s">
        <v>3</v>
      </c>
      <c r="D547" s="195" t="s">
        <v>59</v>
      </c>
      <c r="E547" s="195" t="s">
        <v>59</v>
      </c>
      <c r="F547" s="196" t="s">
        <v>59</v>
      </c>
      <c r="G547" s="196" t="s">
        <v>59</v>
      </c>
      <c r="H547" s="196"/>
      <c r="I547" s="195"/>
      <c r="J547" s="180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  <c r="Y547" s="181"/>
      <c r="AB547" s="174" t="str">
        <f t="shared" si="217"/>
        <v>Fraser Hornby (A)</v>
      </c>
    </row>
    <row r="548" spans="1:28" ht="10.5" customHeight="1" x14ac:dyDescent="0.2">
      <c r="A548" s="200">
        <v>22</v>
      </c>
      <c r="B548" s="194" t="s">
        <v>538</v>
      </c>
      <c r="C548" s="194" t="s">
        <v>3</v>
      </c>
      <c r="D548" s="195" t="s">
        <v>59</v>
      </c>
      <c r="E548" s="195" t="s">
        <v>59</v>
      </c>
      <c r="F548" s="196" t="s">
        <v>59</v>
      </c>
      <c r="G548" s="196" t="s">
        <v>59</v>
      </c>
      <c r="H548" s="196"/>
      <c r="I548" s="195"/>
      <c r="J548" s="180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AB548" s="174" t="str">
        <f t="shared" si="217"/>
        <v>Aaron Seydel</v>
      </c>
    </row>
    <row r="549" spans="1:28" ht="10.5" customHeight="1" x14ac:dyDescent="0.2">
      <c r="A549" s="200">
        <v>24</v>
      </c>
      <c r="B549" s="194" t="s">
        <v>557</v>
      </c>
      <c r="C549" s="194" t="s">
        <v>3</v>
      </c>
      <c r="D549" s="195" t="s">
        <v>59</v>
      </c>
      <c r="E549" s="195" t="s">
        <v>59</v>
      </c>
      <c r="F549" s="196" t="s">
        <v>59</v>
      </c>
      <c r="G549" s="196" t="s">
        <v>59</v>
      </c>
      <c r="H549" s="196"/>
      <c r="I549" s="195"/>
      <c r="J549" s="180"/>
      <c r="K549" s="181"/>
      <c r="L549" s="181"/>
      <c r="M549" s="181"/>
      <c r="N549" s="181"/>
      <c r="O549" s="181"/>
      <c r="P549" s="181"/>
      <c r="Q549" s="181"/>
      <c r="R549" s="181"/>
      <c r="S549" s="181"/>
      <c r="T549" s="181"/>
      <c r="U549" s="181"/>
      <c r="V549" s="181"/>
      <c r="W549" s="181"/>
      <c r="X549" s="181"/>
      <c r="Y549" s="181"/>
      <c r="AB549" s="174" t="str">
        <f t="shared" ref="AB549:AB554" si="220">B549</f>
        <v>Luca Pfeiffer</v>
      </c>
    </row>
    <row r="550" spans="1:28" ht="10.5" customHeight="1" x14ac:dyDescent="0.2">
      <c r="A550" s="200">
        <v>25</v>
      </c>
      <c r="B550" s="194" t="s">
        <v>650</v>
      </c>
      <c r="C550" s="194" t="s">
        <v>3</v>
      </c>
      <c r="D550" s="195" t="s">
        <v>59</v>
      </c>
      <c r="E550" s="195" t="s">
        <v>59</v>
      </c>
      <c r="F550" s="196" t="s">
        <v>59</v>
      </c>
      <c r="G550" s="196" t="s">
        <v>59</v>
      </c>
      <c r="H550" s="196"/>
      <c r="I550" s="195"/>
      <c r="J550" s="180"/>
      <c r="K550" s="181"/>
      <c r="L550" s="181"/>
      <c r="M550" s="181"/>
      <c r="N550" s="181"/>
      <c r="O550" s="181"/>
      <c r="P550" s="181"/>
      <c r="Q550" s="181"/>
      <c r="R550" s="181"/>
      <c r="S550" s="181"/>
      <c r="T550" s="181"/>
      <c r="U550" s="181"/>
      <c r="V550" s="181"/>
      <c r="W550" s="181"/>
      <c r="X550" s="181"/>
      <c r="Y550" s="181"/>
      <c r="AB550" s="174" t="str">
        <f t="shared" si="220"/>
        <v>Gerrit Holtmann</v>
      </c>
    </row>
    <row r="551" spans="1:28" ht="10.5" customHeight="1" x14ac:dyDescent="0.2">
      <c r="A551" s="200">
        <v>27</v>
      </c>
      <c r="B551" s="194" t="s">
        <v>334</v>
      </c>
      <c r="C551" s="194" t="s">
        <v>3</v>
      </c>
      <c r="D551" s="195" t="s">
        <v>59</v>
      </c>
      <c r="E551" s="195" t="s">
        <v>59</v>
      </c>
      <c r="F551" s="196" t="s">
        <v>59</v>
      </c>
      <c r="G551" s="196" t="s">
        <v>59</v>
      </c>
      <c r="H551" s="196"/>
      <c r="I551" s="195"/>
      <c r="J551" s="180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  <c r="Y551" s="181"/>
      <c r="AB551" s="174" t="str">
        <f t="shared" ref="AB551" si="221">B551</f>
        <v>Tim Skarke</v>
      </c>
    </row>
    <row r="552" spans="1:28" ht="10.5" customHeight="1" x14ac:dyDescent="0.2">
      <c r="A552" s="200">
        <v>29</v>
      </c>
      <c r="B552" s="194" t="s">
        <v>539</v>
      </c>
      <c r="C552" s="194" t="s">
        <v>3</v>
      </c>
      <c r="D552" s="195" t="s">
        <v>59</v>
      </c>
      <c r="E552" s="195" t="s">
        <v>59</v>
      </c>
      <c r="F552" s="196" t="s">
        <v>59</v>
      </c>
      <c r="G552" s="196" t="s">
        <v>59</v>
      </c>
      <c r="H552" s="196"/>
      <c r="I552" s="195"/>
      <c r="J552" s="180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  <c r="Y552" s="181"/>
      <c r="AB552" s="174" t="str">
        <f t="shared" si="220"/>
        <v>Oscar Vilhelmsson (A)</v>
      </c>
    </row>
    <row r="553" spans="1:28" ht="10.5" customHeight="1" x14ac:dyDescent="0.2">
      <c r="A553" s="200">
        <v>40</v>
      </c>
      <c r="B553" s="194" t="s">
        <v>673</v>
      </c>
      <c r="C553" s="194" t="s">
        <v>3</v>
      </c>
      <c r="D553" s="195" t="s">
        <v>59</v>
      </c>
      <c r="E553" s="195" t="s">
        <v>59</v>
      </c>
      <c r="F553" s="196" t="s">
        <v>59</v>
      </c>
      <c r="G553" s="196" t="s">
        <v>59</v>
      </c>
      <c r="H553" s="196"/>
      <c r="I553" s="195"/>
      <c r="J553" s="180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AB553" s="174" t="str">
        <f t="shared" ref="AB553" si="222">B553</f>
        <v>Sebastian Polter</v>
      </c>
    </row>
    <row r="554" spans="1:28" ht="10.5" customHeight="1" x14ac:dyDescent="0.2">
      <c r="A554" s="200">
        <v>42</v>
      </c>
      <c r="B554" s="194" t="s">
        <v>540</v>
      </c>
      <c r="C554" s="194" t="s">
        <v>3</v>
      </c>
      <c r="D554" s="195" t="s">
        <v>59</v>
      </c>
      <c r="E554" s="195" t="s">
        <v>59</v>
      </c>
      <c r="F554" s="196" t="s">
        <v>59</v>
      </c>
      <c r="G554" s="196" t="s">
        <v>59</v>
      </c>
      <c r="H554" s="196"/>
      <c r="I554" s="195"/>
      <c r="J554" s="180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AB554" s="174" t="str">
        <f t="shared" si="220"/>
        <v>Fabio Torsiello</v>
      </c>
    </row>
  </sheetData>
  <autoFilter ref="K1:AB554" xr:uid="{00000000-0009-0000-0000-000001000000}"/>
  <mergeCells count="18">
    <mergeCell ref="A461:I461"/>
    <mergeCell ref="A315:I315"/>
    <mergeCell ref="A494:I494"/>
    <mergeCell ref="A523:I523"/>
    <mergeCell ref="A432:I432"/>
    <mergeCell ref="A402:I402"/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</mergeCells>
  <phoneticPr fontId="0" type="noConversion"/>
  <conditionalFormatting sqref="B555:B1048576">
    <cfRule type="duplicateValues" dxfId="81" priority="15945"/>
  </conditionalFormatting>
  <conditionalFormatting sqref="B555:B1048576 B494 B373 B346:B347 B284 B1:B2 B35 B432 B523 B253 B402 B225:B228 B70:B74 B97:B101 B357:B365 B457:B461 B528:B546 B301:B328 B124:B159 B181:B205 B267:B275">
    <cfRule type="duplicateValues" dxfId="80" priority="39503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79" priority="39765"/>
  </conditionalFormatting>
  <conditionalFormatting sqref="B62:B69">
    <cfRule type="duplicateValues" dxfId="78" priority="1300"/>
  </conditionalFormatting>
  <conditionalFormatting sqref="B285:B289">
    <cfRule type="duplicateValues" dxfId="77" priority="1154"/>
  </conditionalFormatting>
  <conditionalFormatting sqref="B285:B289">
    <cfRule type="duplicateValues" dxfId="76" priority="1155"/>
  </conditionalFormatting>
  <conditionalFormatting sqref="B285:B289">
    <cfRule type="duplicateValues" dxfId="75" priority="1156"/>
  </conditionalFormatting>
  <conditionalFormatting sqref="B285:B289">
    <cfRule type="duplicateValues" dxfId="74" priority="1157"/>
  </conditionalFormatting>
  <conditionalFormatting sqref="B285:B289">
    <cfRule type="duplicateValues" dxfId="73" priority="1158"/>
  </conditionalFormatting>
  <conditionalFormatting sqref="B285:B289">
    <cfRule type="duplicateValues" dxfId="72" priority="1159"/>
  </conditionalFormatting>
  <conditionalFormatting sqref="B285:B289">
    <cfRule type="duplicateValues" dxfId="71" priority="1160"/>
  </conditionalFormatting>
  <conditionalFormatting sqref="B285:B289">
    <cfRule type="duplicateValues" dxfId="70" priority="1161"/>
  </conditionalFormatting>
  <conditionalFormatting sqref="B285:B289">
    <cfRule type="duplicateValues" dxfId="69" priority="1162"/>
  </conditionalFormatting>
  <conditionalFormatting sqref="B403:B406">
    <cfRule type="duplicateValues" dxfId="68" priority="860"/>
  </conditionalFormatting>
  <conditionalFormatting sqref="B403:B406">
    <cfRule type="duplicateValues" dxfId="67" priority="861"/>
  </conditionalFormatting>
  <conditionalFormatting sqref="B403:B406">
    <cfRule type="duplicateValues" dxfId="66" priority="862"/>
  </conditionalFormatting>
  <conditionalFormatting sqref="B403:B406">
    <cfRule type="duplicateValues" dxfId="65" priority="863"/>
  </conditionalFormatting>
  <conditionalFormatting sqref="B403:B406">
    <cfRule type="duplicateValues" dxfId="64" priority="864"/>
  </conditionalFormatting>
  <conditionalFormatting sqref="B403:B406">
    <cfRule type="duplicateValues" dxfId="63" priority="865"/>
  </conditionalFormatting>
  <conditionalFormatting sqref="B403:B406">
    <cfRule type="duplicateValues" dxfId="62" priority="866"/>
  </conditionalFormatting>
  <conditionalFormatting sqref="B403:B406">
    <cfRule type="duplicateValues" dxfId="61" priority="867"/>
  </conditionalFormatting>
  <conditionalFormatting sqref="B462:B465">
    <cfRule type="duplicateValues" dxfId="60" priority="44394"/>
  </conditionalFormatting>
  <conditionalFormatting sqref="B254:B256">
    <cfRule type="duplicateValues" dxfId="59" priority="83125"/>
  </conditionalFormatting>
  <conditionalFormatting sqref="B3:B7">
    <cfRule type="duplicateValues" dxfId="58" priority="111389"/>
  </conditionalFormatting>
  <conditionalFormatting sqref="B36:B39">
    <cfRule type="duplicateValues" dxfId="57" priority="112863"/>
  </conditionalFormatting>
  <conditionalFormatting sqref="B71:B74">
    <cfRule type="duplicateValues" dxfId="56" priority="114682"/>
  </conditionalFormatting>
  <conditionalFormatting sqref="B75:B83">
    <cfRule type="duplicateValues" dxfId="55" priority="114829"/>
  </conditionalFormatting>
  <conditionalFormatting sqref="B140:B152">
    <cfRule type="duplicateValues" dxfId="54" priority="116680"/>
  </conditionalFormatting>
  <conditionalFormatting sqref="B162:B172">
    <cfRule type="duplicateValues" dxfId="53" priority="117029"/>
  </conditionalFormatting>
  <conditionalFormatting sqref="B247:B252">
    <cfRule type="duplicateValues" dxfId="52" priority="119642"/>
  </conditionalFormatting>
  <conditionalFormatting sqref="B181:B246 B1:B172 B253:B388 B397:B516 B523:B1048576">
    <cfRule type="duplicateValues" dxfId="51" priority="120823"/>
  </conditionalFormatting>
  <conditionalFormatting sqref="B1:B1048576">
    <cfRule type="duplicateValues" dxfId="50" priority="120835"/>
  </conditionalFormatting>
  <conditionalFormatting sqref="B290:B300">
    <cfRule type="duplicateValues" dxfId="49" priority="121650"/>
  </conditionalFormatting>
  <conditionalFormatting sqref="B338:B345">
    <cfRule type="duplicateValues" dxfId="48" priority="122806"/>
  </conditionalFormatting>
  <conditionalFormatting sqref="B523:B1048576 B1:B516">
    <cfRule type="duplicateValues" dxfId="47" priority="122999"/>
  </conditionalFormatting>
  <conditionalFormatting sqref="B348:B349">
    <cfRule type="duplicateValues" dxfId="46" priority="123131"/>
  </conditionalFormatting>
  <conditionalFormatting sqref="B374:B377">
    <cfRule type="duplicateValues" dxfId="45" priority="123638"/>
  </conditionalFormatting>
  <conditionalFormatting sqref="B378:B388">
    <cfRule type="duplicateValues" dxfId="44" priority="123771"/>
  </conditionalFormatting>
  <conditionalFormatting sqref="B433:B435">
    <cfRule type="duplicateValues" dxfId="43" priority="124436"/>
  </conditionalFormatting>
  <conditionalFormatting sqref="B495:B498">
    <cfRule type="duplicateValues" dxfId="42" priority="81"/>
  </conditionalFormatting>
  <conditionalFormatting sqref="B499:B506">
    <cfRule type="duplicateValues" dxfId="41" priority="125498"/>
  </conditionalFormatting>
  <conditionalFormatting sqref="B517:B522">
    <cfRule type="duplicateValues" dxfId="40" priority="125674"/>
  </conditionalFormatting>
  <conditionalFormatting sqref="B524:B527">
    <cfRule type="duplicateValues" dxfId="39" priority="79"/>
  </conditionalFormatting>
  <conditionalFormatting sqref="B427:B431">
    <cfRule type="duplicateValues" dxfId="38" priority="126722"/>
  </conditionalFormatting>
  <conditionalFormatting sqref="B257:B266">
    <cfRule type="duplicateValues" dxfId="37" priority="127068"/>
  </conditionalFormatting>
  <conditionalFormatting sqref="B160:B161">
    <cfRule type="duplicateValues" dxfId="36" priority="127582"/>
  </conditionalFormatting>
  <conditionalFormatting sqref="B276:B283">
    <cfRule type="duplicateValues" dxfId="35" priority="130062"/>
  </conditionalFormatting>
  <conditionalFormatting sqref="B475:B488">
    <cfRule type="duplicateValues" dxfId="34" priority="130576"/>
  </conditionalFormatting>
  <conditionalFormatting sqref="B446:B456">
    <cfRule type="duplicateValues" dxfId="33" priority="131270"/>
  </conditionalFormatting>
  <conditionalFormatting sqref="B102:B111">
    <cfRule type="duplicateValues" dxfId="32" priority="131626"/>
  </conditionalFormatting>
  <conditionalFormatting sqref="B27:B34">
    <cfRule type="duplicateValues" dxfId="31" priority="132318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30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29" priority="133156"/>
  </conditionalFormatting>
  <conditionalFormatting sqref="B236:B246">
    <cfRule type="duplicateValues" dxfId="28" priority="133640"/>
  </conditionalFormatting>
  <conditionalFormatting sqref="B366:B372">
    <cfRule type="duplicateValues" dxfId="27" priority="133766"/>
  </conditionalFormatting>
  <conditionalFormatting sqref="B397:B401">
    <cfRule type="duplicateValues" dxfId="26" priority="134205"/>
  </conditionalFormatting>
  <conditionalFormatting sqref="B407:B418">
    <cfRule type="duplicateValues" dxfId="25" priority="134341"/>
  </conditionalFormatting>
  <conditionalFormatting sqref="B466:B474">
    <cfRule type="duplicateValues" dxfId="24" priority="134477"/>
  </conditionalFormatting>
  <conditionalFormatting sqref="B507:B516">
    <cfRule type="duplicateValues" dxfId="23" priority="134749"/>
  </conditionalFormatting>
  <conditionalFormatting sqref="B51:B61">
    <cfRule type="duplicateValues" dxfId="22" priority="135029"/>
  </conditionalFormatting>
  <conditionalFormatting sqref="B489:B493">
    <cfRule type="duplicateValues" dxfId="21" priority="135792"/>
  </conditionalFormatting>
  <conditionalFormatting sqref="B547:B554">
    <cfRule type="duplicateValues" dxfId="20" priority="135974"/>
  </conditionalFormatting>
  <conditionalFormatting sqref="B84:B92">
    <cfRule type="duplicateValues" dxfId="19" priority="136152"/>
  </conditionalFormatting>
  <conditionalFormatting sqref="B93:B96">
    <cfRule type="duplicateValues" dxfId="18" priority="136604"/>
  </conditionalFormatting>
  <conditionalFormatting sqref="B119:B123">
    <cfRule type="duplicateValues" dxfId="17" priority="136740"/>
  </conditionalFormatting>
  <conditionalFormatting sqref="B112:B118">
    <cfRule type="duplicateValues" dxfId="16" priority="137593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15" priority="137594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14" priority="137617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13" priority="137640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2" priority="137663"/>
  </conditionalFormatting>
  <conditionalFormatting sqref="B329:B337">
    <cfRule type="duplicateValues" dxfId="11" priority="137757"/>
  </conditionalFormatting>
  <conditionalFormatting sqref="B389:B396">
    <cfRule type="duplicateValues" dxfId="10" priority="137850"/>
  </conditionalFormatting>
  <conditionalFormatting sqref="B419:B426">
    <cfRule type="duplicateValues" dxfId="9" priority="137902"/>
  </conditionalFormatting>
  <conditionalFormatting sqref="B350:B356">
    <cfRule type="duplicateValues" dxfId="8" priority="138135"/>
  </conditionalFormatting>
  <conditionalFormatting sqref="B436:B445">
    <cfRule type="duplicateValues" dxfId="7" priority="138316"/>
  </conditionalFormatting>
  <conditionalFormatting sqref="B19:B26">
    <cfRule type="duplicateValues" dxfId="6" priority="138368"/>
  </conditionalFormatting>
  <conditionalFormatting sqref="B173:B180">
    <cfRule type="duplicateValues" dxfId="5" priority="138452"/>
  </conditionalFormatting>
  <conditionalFormatting sqref="B206:B217">
    <cfRule type="duplicateValues" dxfId="4" priority="138548"/>
  </conditionalFormatting>
  <conditionalFormatting sqref="B218:B224">
    <cfRule type="duplicateValues" dxfId="3" priority="138642"/>
  </conditionalFormatting>
  <conditionalFormatting sqref="B229:B235">
    <cfRule type="duplicateValues" dxfId="2" priority="138820"/>
  </conditionalFormatting>
  <conditionalFormatting sqref="B8:B18">
    <cfRule type="duplicateValues" dxfId="1" priority="138872"/>
  </conditionalFormatting>
  <conditionalFormatting sqref="B40:B50">
    <cfRule type="duplicateValues" dxfId="0" priority="139050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G232" sqref="G232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'[1]22. Spieltag'!A5</f>
        <v>Bochum</v>
      </c>
      <c r="E1" s="131" t="str">
        <f>'[1]22. Spieltag'!B5</f>
        <v>München</v>
      </c>
      <c r="F1" s="131"/>
      <c r="G1" s="131"/>
      <c r="H1" s="131"/>
      <c r="I1" s="132">
        <v>3</v>
      </c>
      <c r="J1" s="260">
        <v>2</v>
      </c>
      <c r="K1" s="128"/>
      <c r="L1" s="208"/>
      <c r="M1" s="209"/>
      <c r="N1" s="209"/>
      <c r="O1" s="209"/>
      <c r="P1" s="209" t="s">
        <v>19</v>
      </c>
      <c r="Q1" s="210" t="s">
        <v>18</v>
      </c>
      <c r="R1" s="209"/>
      <c r="S1" s="209"/>
      <c r="T1" s="209"/>
      <c r="U1" s="209"/>
      <c r="V1" s="209" t="s">
        <v>19</v>
      </c>
      <c r="W1" s="209" t="s">
        <v>18</v>
      </c>
    </row>
    <row r="2" spans="1:23" ht="13.5" x14ac:dyDescent="0.2">
      <c r="A2" s="133">
        <v>1</v>
      </c>
      <c r="B2" s="134"/>
      <c r="C2" s="134"/>
      <c r="D2" s="135" t="str">
        <f>'[1]22. Spieltag'!A6</f>
        <v>Wolfsburg</v>
      </c>
      <c r="E2" s="136" t="str">
        <f>'[1]22. Spieltag'!B6</f>
        <v>Dortmund</v>
      </c>
      <c r="F2" s="136"/>
      <c r="G2" s="136"/>
      <c r="H2" s="136"/>
      <c r="I2" s="137">
        <v>1</v>
      </c>
      <c r="J2" s="138">
        <v>1</v>
      </c>
      <c r="K2" s="128"/>
      <c r="L2" s="209"/>
      <c r="M2" s="209"/>
      <c r="N2" s="209"/>
      <c r="O2" s="209"/>
      <c r="P2" s="209"/>
      <c r="Q2" s="210"/>
      <c r="R2" s="209"/>
      <c r="S2" s="209"/>
      <c r="T2" s="209"/>
      <c r="U2" s="209"/>
      <c r="V2" s="211"/>
      <c r="W2" s="211"/>
    </row>
    <row r="3" spans="1:23" ht="13.5" x14ac:dyDescent="0.2">
      <c r="D3" s="135" t="str">
        <f>'[1]22. Spieltag'!A7</f>
        <v>Hoffenheim</v>
      </c>
      <c r="E3" s="136" t="str">
        <f>'[1]22. Spieltag'!B7</f>
        <v>Union Berlin</v>
      </c>
      <c r="F3" s="136"/>
      <c r="G3" s="136"/>
      <c r="H3" s="136"/>
      <c r="I3" s="137">
        <v>0</v>
      </c>
      <c r="J3" s="138">
        <v>1</v>
      </c>
      <c r="K3" s="128"/>
      <c r="L3" s="222" t="s">
        <v>9</v>
      </c>
      <c r="M3" s="223"/>
      <c r="N3" s="223"/>
      <c r="O3" s="223"/>
      <c r="P3" s="212">
        <f>Ergebniseingabe!B12</f>
        <v>2</v>
      </c>
      <c r="Q3" s="213">
        <f>Ergebniseingabe!B13</f>
        <v>3</v>
      </c>
      <c r="R3" s="222" t="s">
        <v>70</v>
      </c>
      <c r="S3" s="223"/>
      <c r="T3" s="223"/>
      <c r="U3" s="223"/>
      <c r="V3" s="214">
        <f>Ergebniseingabe!B30</f>
        <v>0</v>
      </c>
      <c r="W3" s="213">
        <f>Ergebniseingabe!B31</f>
        <v>1</v>
      </c>
    </row>
    <row r="4" spans="1:23" ht="13.5" x14ac:dyDescent="0.2">
      <c r="D4" s="135" t="str">
        <f>'[1]22. Spieltag'!A8</f>
        <v>Heidenheim</v>
      </c>
      <c r="E4" s="136" t="str">
        <f>'[1]22. Spieltag'!B8</f>
        <v>Leverkusen</v>
      </c>
      <c r="F4" s="136"/>
      <c r="G4" s="136"/>
      <c r="H4" s="136"/>
      <c r="I4" s="137">
        <v>1</v>
      </c>
      <c r="J4" s="138">
        <v>2</v>
      </c>
      <c r="K4" s="128"/>
      <c r="L4" s="222" t="s">
        <v>321</v>
      </c>
      <c r="M4" s="223"/>
      <c r="N4" s="223"/>
      <c r="O4" s="223"/>
      <c r="P4" s="212">
        <f>Ergebniseingabe!B14</f>
        <v>1</v>
      </c>
      <c r="Q4" s="213">
        <f>Ergebniseingabe!B15</f>
        <v>0</v>
      </c>
      <c r="R4" s="222" t="s">
        <v>177</v>
      </c>
      <c r="S4" s="223"/>
      <c r="T4" s="223"/>
      <c r="U4" s="223"/>
      <c r="V4" s="214">
        <f>Ergebniseingabe!B32</f>
        <v>1</v>
      </c>
      <c r="W4" s="213">
        <f>Ergebniseingabe!B33</f>
        <v>0</v>
      </c>
    </row>
    <row r="5" spans="1:23" ht="13.5" x14ac:dyDescent="0.2">
      <c r="D5" s="135" t="str">
        <f>'[1]22. Spieltag'!A9</f>
        <v>Freiburg</v>
      </c>
      <c r="E5" s="136" t="str">
        <f>'[1]22. Spieltag'!B9</f>
        <v>Frankfurt</v>
      </c>
      <c r="F5" s="136"/>
      <c r="G5" s="136"/>
      <c r="H5" s="136"/>
      <c r="I5" s="137">
        <v>3</v>
      </c>
      <c r="J5" s="138">
        <v>3</v>
      </c>
      <c r="K5" s="128"/>
      <c r="L5" s="222" t="s">
        <v>32</v>
      </c>
      <c r="M5" s="223"/>
      <c r="N5" s="223"/>
      <c r="O5" s="223"/>
      <c r="P5" s="212">
        <f>Ergebniseingabe!B16</f>
        <v>1</v>
      </c>
      <c r="Q5" s="213">
        <f>Ergebniseingabe!B17</f>
        <v>1</v>
      </c>
      <c r="R5" s="222" t="s">
        <v>181</v>
      </c>
      <c r="S5" s="223"/>
      <c r="T5" s="223"/>
      <c r="U5" s="223"/>
      <c r="V5" s="214">
        <f>Ergebniseingabe!B34</f>
        <v>0</v>
      </c>
      <c r="W5" s="213">
        <f>Ergebniseingabe!B35</f>
        <v>1</v>
      </c>
    </row>
    <row r="6" spans="1:23" ht="13.5" x14ac:dyDescent="0.2">
      <c r="D6" s="135" t="str">
        <f>'[1]22. Spieltag'!A10</f>
        <v>Leipzig</v>
      </c>
      <c r="E6" s="136" t="str">
        <f>'[1]22. Spieltag'!B10</f>
        <v>M'gladbach</v>
      </c>
      <c r="F6" s="136"/>
      <c r="G6" s="136"/>
      <c r="H6" s="136"/>
      <c r="I6" s="137">
        <v>2</v>
      </c>
      <c r="J6" s="138">
        <v>0</v>
      </c>
      <c r="K6" s="128"/>
      <c r="L6" s="222" t="s">
        <v>30</v>
      </c>
      <c r="M6" s="223"/>
      <c r="N6" s="223"/>
      <c r="O6" s="223"/>
      <c r="P6" s="212">
        <f>Ergebniseingabe!B18</f>
        <v>2</v>
      </c>
      <c r="Q6" s="213">
        <f>Ergebniseingabe!B19</f>
        <v>1</v>
      </c>
      <c r="R6" s="222" t="s">
        <v>404</v>
      </c>
      <c r="S6" s="223"/>
      <c r="T6" s="223"/>
      <c r="U6" s="223"/>
      <c r="V6" s="214">
        <f>Ergebniseingabe!B36</f>
        <v>1</v>
      </c>
      <c r="W6" s="213">
        <f>Ergebniseingabe!B37</f>
        <v>2</v>
      </c>
    </row>
    <row r="7" spans="1:23" ht="13.5" x14ac:dyDescent="0.2">
      <c r="D7" s="135" t="str">
        <f>'[1]22. Spieltag'!A11</f>
        <v>Köln</v>
      </c>
      <c r="E7" s="136" t="str">
        <f>'[1]22. Spieltag'!B11</f>
        <v>Bremen</v>
      </c>
      <c r="F7" s="136"/>
      <c r="G7" s="136"/>
      <c r="H7" s="136"/>
      <c r="I7" s="137">
        <v>0</v>
      </c>
      <c r="J7" s="138">
        <v>1</v>
      </c>
      <c r="K7" s="128"/>
      <c r="L7" s="222" t="s">
        <v>405</v>
      </c>
      <c r="M7" s="223"/>
      <c r="N7" s="223"/>
      <c r="O7" s="223"/>
      <c r="P7" s="212">
        <f>Ergebniseingabe!B20</f>
        <v>1</v>
      </c>
      <c r="Q7" s="213">
        <f>Ergebniseingabe!B21</f>
        <v>2</v>
      </c>
      <c r="R7" s="222" t="s">
        <v>96</v>
      </c>
      <c r="S7" s="223"/>
      <c r="T7" s="223"/>
      <c r="U7" s="223"/>
      <c r="V7" s="214">
        <f>Ergebniseingabe!B38</f>
        <v>0</v>
      </c>
      <c r="W7" s="213">
        <f>Ergebniseingabe!B39</f>
        <v>1</v>
      </c>
    </row>
    <row r="8" spans="1:23" ht="13.5" x14ac:dyDescent="0.2">
      <c r="D8" s="135" t="str">
        <f>'[1]22. Spieltag'!A12</f>
        <v>Mainz</v>
      </c>
      <c r="E8" s="136" t="str">
        <f>'[1]22. Spieltag'!B12</f>
        <v>Augsburg</v>
      </c>
      <c r="F8" s="136"/>
      <c r="G8" s="136"/>
      <c r="H8" s="136"/>
      <c r="I8" s="137">
        <v>1</v>
      </c>
      <c r="J8" s="138">
        <v>0</v>
      </c>
      <c r="K8" s="128"/>
      <c r="L8" s="222" t="s">
        <v>128</v>
      </c>
      <c r="M8" s="223"/>
      <c r="N8" s="223"/>
      <c r="O8" s="223"/>
      <c r="P8" s="212">
        <f>Ergebniseingabe!B22</f>
        <v>2</v>
      </c>
      <c r="Q8" s="213">
        <f>Ergebniseingabe!B23</f>
        <v>0</v>
      </c>
      <c r="R8" s="222" t="s">
        <v>129</v>
      </c>
      <c r="S8" s="223"/>
      <c r="T8" s="223"/>
      <c r="U8" s="223"/>
      <c r="V8" s="214">
        <f>Ergebniseingabe!B40</f>
        <v>3</v>
      </c>
      <c r="W8" s="213">
        <f>Ergebniseingabe!B41</f>
        <v>3</v>
      </c>
    </row>
    <row r="9" spans="1:23" ht="14.25" thickBot="1" x14ac:dyDescent="0.25">
      <c r="D9" s="139" t="str">
        <f>'[1]22. Spieltag'!A13</f>
        <v>Darmstadt</v>
      </c>
      <c r="E9" s="140" t="str">
        <f>'[1]22. Spieltag'!B13</f>
        <v>Stuttgart</v>
      </c>
      <c r="F9" s="140"/>
      <c r="G9" s="140"/>
      <c r="H9" s="140"/>
      <c r="I9" s="169">
        <v>1</v>
      </c>
      <c r="J9" s="170">
        <v>2</v>
      </c>
      <c r="K9" s="128"/>
      <c r="L9" s="222" t="s">
        <v>259</v>
      </c>
      <c r="M9" s="223"/>
      <c r="N9" s="223"/>
      <c r="O9" s="223"/>
      <c r="P9" s="212">
        <f>Ergebniseingabe!B24</f>
        <v>3</v>
      </c>
      <c r="Q9" s="213">
        <f>Ergebniseingabe!B25</f>
        <v>2</v>
      </c>
      <c r="R9" s="222" t="s">
        <v>106</v>
      </c>
      <c r="S9" s="223"/>
      <c r="T9" s="223"/>
      <c r="U9" s="223"/>
      <c r="V9" s="214">
        <f>Ergebniseingabe!B42</f>
        <v>3</v>
      </c>
      <c r="W9" s="213">
        <f>Ergebniseingabe!B43</f>
        <v>3</v>
      </c>
    </row>
    <row r="10" spans="1:23" ht="13.5" customHeight="1" thickBot="1" x14ac:dyDescent="0.25">
      <c r="D10" s="53"/>
      <c r="G10" s="20"/>
      <c r="H10" s="11"/>
      <c r="I10" s="226">
        <f>SUM(I1:J9)</f>
        <v>24</v>
      </c>
      <c r="J10" s="226"/>
      <c r="K10" s="128"/>
      <c r="L10" s="222" t="s">
        <v>225</v>
      </c>
      <c r="M10" s="223"/>
      <c r="N10" s="223"/>
      <c r="O10" s="223"/>
      <c r="P10" s="212">
        <f>Ergebniseingabe!B26</f>
        <v>2</v>
      </c>
      <c r="Q10" s="213">
        <f>Ergebniseingabe!B27</f>
        <v>1</v>
      </c>
      <c r="R10" s="222" t="s">
        <v>120</v>
      </c>
      <c r="S10" s="223"/>
      <c r="T10" s="223"/>
      <c r="U10" s="223"/>
      <c r="V10" s="214">
        <f>Ergebniseingabe!B44</f>
        <v>1</v>
      </c>
      <c r="W10" s="213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2" t="s">
        <v>31</v>
      </c>
      <c r="M11" s="223"/>
      <c r="N11" s="223"/>
      <c r="O11" s="223"/>
      <c r="P11" s="212">
        <f>Ergebniseingabe!B28</f>
        <v>1</v>
      </c>
      <c r="Q11" s="213">
        <f>Ergebniseingabe!B29</f>
        <v>1</v>
      </c>
      <c r="R11" s="222" t="s">
        <v>69</v>
      </c>
      <c r="S11" s="223"/>
      <c r="T11" s="223"/>
      <c r="U11" s="223"/>
      <c r="V11" s="214">
        <f>Ergebniseingabe!B46</f>
        <v>0</v>
      </c>
      <c r="W11" s="213">
        <f>Ergebniseingabe!B47</f>
        <v>2</v>
      </c>
    </row>
    <row r="12" spans="1:23" ht="13.5" x14ac:dyDescent="0.2">
      <c r="A12" s="55"/>
      <c r="B12" s="55" t="s">
        <v>11</v>
      </c>
      <c r="C12" s="163"/>
      <c r="D12" s="56"/>
      <c r="E12" s="57"/>
      <c r="F12" s="57"/>
      <c r="G12" s="227" t="s">
        <v>15</v>
      </c>
      <c r="H12" s="228"/>
      <c r="I12" s="227" t="s">
        <v>21</v>
      </c>
      <c r="J12" s="228"/>
      <c r="K12" s="231" t="s">
        <v>33</v>
      </c>
      <c r="L12" s="232"/>
      <c r="M12" s="227" t="s">
        <v>23</v>
      </c>
      <c r="N12" s="228"/>
      <c r="O12" s="58" t="s">
        <v>4</v>
      </c>
      <c r="P12" s="58" t="s">
        <v>16</v>
      </c>
      <c r="Q12" s="58" t="s">
        <v>24</v>
      </c>
      <c r="R12" s="227" t="s">
        <v>28</v>
      </c>
      <c r="S12" s="228"/>
      <c r="T12" s="227" t="s">
        <v>26</v>
      </c>
      <c r="U12" s="228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4" t="s">
        <v>22</v>
      </c>
      <c r="J13" s="225"/>
      <c r="K13" s="233"/>
      <c r="L13" s="234"/>
      <c r="M13" s="224" t="s">
        <v>22</v>
      </c>
      <c r="N13" s="225"/>
      <c r="O13" s="63" t="s">
        <v>5</v>
      </c>
      <c r="P13" s="63" t="s">
        <v>6</v>
      </c>
      <c r="Q13" s="63" t="s">
        <v>25</v>
      </c>
      <c r="R13" s="224" t="s">
        <v>29</v>
      </c>
      <c r="S13" s="225"/>
      <c r="T13" s="224" t="s">
        <v>27</v>
      </c>
      <c r="U13" s="225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6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3" customFormat="1" ht="18" thickTop="1" thickBot="1" x14ac:dyDescent="0.25">
      <c r="A15" s="141"/>
      <c r="B15" s="159">
        <f>SUM(B16:B47)</f>
        <v>17</v>
      </c>
      <c r="C15" s="160"/>
      <c r="D15" s="229" t="s">
        <v>9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30"/>
    </row>
    <row r="16" spans="1:23" ht="10.5" customHeight="1" x14ac:dyDescent="0.2">
      <c r="A16" s="11"/>
      <c r="B16" s="161">
        <f>COUNTA(Spieltag!K3:AA3)</f>
        <v>3</v>
      </c>
      <c r="C16" s="164">
        <f>Spieltag!A3</f>
        <v>1</v>
      </c>
      <c r="D16" s="158" t="str">
        <f>Spieltag!B3</f>
        <v>Manuel Neuer</v>
      </c>
      <c r="E16" s="150" t="str">
        <f>Spieltag!C3</f>
        <v>Torwart</v>
      </c>
      <c r="F16" s="151" t="s">
        <v>54</v>
      </c>
      <c r="G16" s="152" t="s">
        <v>678</v>
      </c>
      <c r="H16" s="153">
        <f t="shared" ref="H16:H22" si="0">IF(G16="x",10,0)</f>
        <v>10</v>
      </c>
      <c r="I16" s="152"/>
      <c r="J16" s="153">
        <f t="shared" ref="J16:J22" si="1">IF((I16="x"),-10,0)</f>
        <v>0</v>
      </c>
      <c r="K16" s="152"/>
      <c r="L16" s="153">
        <f t="shared" ref="L16:L22" si="2">IF((K16="x"),-20,0)</f>
        <v>0</v>
      </c>
      <c r="M16" s="152"/>
      <c r="N16" s="153">
        <f t="shared" ref="N16:N22" si="3">IF((M16="x"),-30,0)</f>
        <v>0</v>
      </c>
      <c r="O16" s="154">
        <f t="shared" ref="O16:O47" si="4">IF(AND($P$3&gt;$Q$3),20,IF($P$3=$Q$3,10,0))</f>
        <v>0</v>
      </c>
      <c r="P16" s="154">
        <f t="shared" ref="P16:P47" si="5">IF(($P$3&lt;&gt;0),$P$3*10,-5)</f>
        <v>20</v>
      </c>
      <c r="Q16" s="154">
        <f>IF(($Q$3&lt;&gt;0),$Q$3*-10,20)</f>
        <v>-30</v>
      </c>
      <c r="R16" s="152"/>
      <c r="S16" s="153">
        <f>R16*20</f>
        <v>0</v>
      </c>
      <c r="T16" s="152"/>
      <c r="U16" s="153">
        <f t="shared" ref="U16:U22" si="6">T16*-15</f>
        <v>0</v>
      </c>
      <c r="V16" s="154">
        <f t="shared" ref="V16:V22" si="7">IF(AND(R16=2),10,IF(R16=3,30,IF(R16=4,50,IF(R16=5,70,0))))</f>
        <v>0</v>
      </c>
      <c r="W16" s="155">
        <f t="shared" ref="W16:W22" si="8">IF(G16="x",H16+J16+L16+N16+O16+P16+Q16+S16+U16+V16,0)</f>
        <v>0</v>
      </c>
    </row>
    <row r="17" spans="1:23" ht="10.5" hidden="1" customHeight="1" x14ac:dyDescent="0.2">
      <c r="A17" s="11"/>
      <c r="B17" s="162">
        <f>COUNTA(Spieltag!K4:AA4)</f>
        <v>0</v>
      </c>
      <c r="C17" s="165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0</v>
      </c>
      <c r="P17" s="16">
        <f t="shared" si="5"/>
        <v>20</v>
      </c>
      <c r="Q17" s="16">
        <f>IF(($Q$3&lt;&gt;0),$Q$3*-10,20)</f>
        <v>-30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2">
        <f>COUNTA(Spieltag!K5:AA5)</f>
        <v>0</v>
      </c>
      <c r="C18" s="165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0</v>
      </c>
      <c r="P18" s="16">
        <f t="shared" si="5"/>
        <v>20</v>
      </c>
      <c r="Q18" s="16">
        <f>IF(($Q$3&lt;&gt;0),$Q$3*-10,20)</f>
        <v>-30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2">
        <f>COUNTA(Spieltag!K6:AA6)</f>
        <v>0</v>
      </c>
      <c r="C19" s="165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0</v>
      </c>
      <c r="P19" s="16">
        <f t="shared" si="5"/>
        <v>20</v>
      </c>
      <c r="Q19" s="16">
        <f>IF(($Q$3&lt;&gt;0),$Q$3*-10,20)</f>
        <v>-30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2">
        <f>COUNTA(Spieltag!K7:AA7)</f>
        <v>0</v>
      </c>
      <c r="C20" s="165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0</v>
      </c>
      <c r="P20" s="16">
        <f t="shared" si="5"/>
        <v>20</v>
      </c>
      <c r="Q20" s="16">
        <f>IF(($Q$3&lt;&gt;0),$Q$3*-10,20)</f>
        <v>-30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2">
        <f>COUNTA(Spieltag!K8:AA8)</f>
        <v>0</v>
      </c>
      <c r="C21" s="165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0</v>
      </c>
      <c r="P21" s="16">
        <f t="shared" si="5"/>
        <v>20</v>
      </c>
      <c r="Q21" s="16">
        <f t="shared" ref="Q21:Q31" si="20">IF(($Q$3&lt;&gt;0),$Q$3*-10,15)</f>
        <v>-30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2">
        <f>COUNTA(Spieltag!K9:AA9)</f>
        <v>0</v>
      </c>
      <c r="C22" s="165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0</v>
      </c>
      <c r="P22" s="16">
        <f t="shared" si="5"/>
        <v>20</v>
      </c>
      <c r="Q22" s="16">
        <f t="shared" si="20"/>
        <v>-30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2">
        <f>COUNTA(Spieltag!K10:AA10)</f>
        <v>0</v>
      </c>
      <c r="C23" s="165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0</v>
      </c>
      <c r="P23" s="16">
        <f t="shared" si="5"/>
        <v>20</v>
      </c>
      <c r="Q23" s="16">
        <f t="shared" si="20"/>
        <v>-30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2">
        <f>COUNTA(Spieltag!K11:AA11)</f>
        <v>0</v>
      </c>
      <c r="C24" s="165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0</v>
      </c>
      <c r="P24" s="16">
        <f t="shared" si="5"/>
        <v>20</v>
      </c>
      <c r="Q24" s="16">
        <f t="shared" si="20"/>
        <v>-30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2">
        <f>COUNTA(Spieltag!K12:AA12)</f>
        <v>0</v>
      </c>
      <c r="C25" s="165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0</v>
      </c>
      <c r="P25" s="16">
        <f t="shared" si="5"/>
        <v>20</v>
      </c>
      <c r="Q25" s="16">
        <f t="shared" si="20"/>
        <v>-30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2">
        <f>COUNTA(Spieltag!K13:AA13)</f>
        <v>0</v>
      </c>
      <c r="C26" s="165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0</v>
      </c>
      <c r="P26" s="16">
        <f t="shared" si="5"/>
        <v>20</v>
      </c>
      <c r="Q26" s="16">
        <f t="shared" si="20"/>
        <v>-30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2">
        <f>COUNTA(Spieltag!K14:AA14)</f>
        <v>0</v>
      </c>
      <c r="C27" s="165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0</v>
      </c>
      <c r="P27" s="16">
        <f t="shared" si="5"/>
        <v>20</v>
      </c>
      <c r="Q27" s="16">
        <f t="shared" si="20"/>
        <v>-30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2">
        <f>COUNTA(Spieltag!K15:AA15)</f>
        <v>0</v>
      </c>
      <c r="C28" s="165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0</v>
      </c>
      <c r="P28" s="16">
        <f t="shared" si="5"/>
        <v>20</v>
      </c>
      <c r="Q28" s="16">
        <f t="shared" si="20"/>
        <v>-30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2">
        <f>COUNTA(Spieltag!K16:AA16)</f>
        <v>0</v>
      </c>
      <c r="C29" s="165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0</v>
      </c>
      <c r="P29" s="16">
        <f t="shared" si="5"/>
        <v>20</v>
      </c>
      <c r="Q29" s="16">
        <f t="shared" si="20"/>
        <v>-30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2">
        <f>COUNTA(Spieltag!K17:AA17)</f>
        <v>0</v>
      </c>
      <c r="C30" s="165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0</v>
      </c>
      <c r="P30" s="16">
        <f t="shared" si="5"/>
        <v>20</v>
      </c>
      <c r="Q30" s="16">
        <f t="shared" si="20"/>
        <v>-30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2">
        <f>COUNTA(Spieltag!K18:AA18)</f>
        <v>0</v>
      </c>
      <c r="C31" s="165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0</v>
      </c>
      <c r="P31" s="16">
        <f t="shared" si="5"/>
        <v>20</v>
      </c>
      <c r="Q31" s="16">
        <f t="shared" si="20"/>
        <v>-30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2">
        <f>COUNTA(Spieltag!K19:AA19)</f>
        <v>0</v>
      </c>
      <c r="C32" s="165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0</v>
      </c>
      <c r="P32" s="16">
        <f t="shared" si="5"/>
        <v>20</v>
      </c>
      <c r="Q32" s="16">
        <f t="shared" ref="Q32:Q39" si="56">IF(($Q$3&lt;&gt;0),$Q$3*-10,10)</f>
        <v>-30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2">
        <f>COUNTA(Spieltag!K20:AA20)</f>
        <v>0</v>
      </c>
      <c r="C33" s="165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0</v>
      </c>
      <c r="P33" s="16">
        <f t="shared" si="5"/>
        <v>20</v>
      </c>
      <c r="Q33" s="16">
        <f t="shared" si="56"/>
        <v>-30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2">
        <f>COUNTA(Spieltag!K21:AA21)</f>
        <v>0</v>
      </c>
      <c r="C34" s="165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0</v>
      </c>
      <c r="P34" s="16">
        <f t="shared" si="5"/>
        <v>20</v>
      </c>
      <c r="Q34" s="16">
        <f t="shared" si="56"/>
        <v>-30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2">
        <f>COUNTA(Spieltag!K22:AA22)</f>
        <v>0</v>
      </c>
      <c r="C35" s="165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0</v>
      </c>
      <c r="P35" s="16">
        <f t="shared" si="5"/>
        <v>20</v>
      </c>
      <c r="Q35" s="16">
        <f t="shared" si="56"/>
        <v>-30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2">
        <f>COUNTA(Spieltag!K23:AA23)</f>
        <v>0</v>
      </c>
      <c r="C36" s="165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0</v>
      </c>
      <c r="P36" s="16">
        <f t="shared" si="5"/>
        <v>20</v>
      </c>
      <c r="Q36" s="16">
        <f t="shared" si="56"/>
        <v>-30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2">
        <f>COUNTA(Spieltag!K24:AA24)</f>
        <v>0</v>
      </c>
      <c r="C37" s="165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0</v>
      </c>
      <c r="P37" s="16">
        <f t="shared" si="5"/>
        <v>20</v>
      </c>
      <c r="Q37" s="16">
        <f t="shared" si="56"/>
        <v>-30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2">
        <f>COUNTA(Spieltag!K25:AA25)</f>
        <v>4</v>
      </c>
      <c r="C38" s="165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678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0</v>
      </c>
      <c r="P38" s="16">
        <f t="shared" si="5"/>
        <v>20</v>
      </c>
      <c r="Q38" s="16">
        <f t="shared" si="56"/>
        <v>-30</v>
      </c>
      <c r="R38" s="14">
        <v>1</v>
      </c>
      <c r="S38" s="15">
        <f t="shared" ref="S38:S39" si="93">R38*10</f>
        <v>10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10</v>
      </c>
    </row>
    <row r="39" spans="1:23" ht="10.5" hidden="1" customHeight="1" x14ac:dyDescent="0.2">
      <c r="A39" s="11"/>
      <c r="B39" s="162">
        <f>COUNTA(Spieltag!K26:AA26)</f>
        <v>0</v>
      </c>
      <c r="C39" s="165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0</v>
      </c>
      <c r="P39" s="16">
        <f t="shared" si="5"/>
        <v>20</v>
      </c>
      <c r="Q39" s="16">
        <f t="shared" si="56"/>
        <v>-30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2">
        <f>COUNTA(Spieltag!K27:AA27)</f>
        <v>0</v>
      </c>
      <c r="C40" s="165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0</v>
      </c>
      <c r="P40" s="16">
        <f t="shared" si="5"/>
        <v>20</v>
      </c>
      <c r="Q40" s="16">
        <f>IF(($Q$3&lt;&gt;0),$Q$3*-10,5)</f>
        <v>-30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2">
        <f>COUNTA(Spieltag!K28:AA28)</f>
        <v>9</v>
      </c>
      <c r="C41" s="165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678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0</v>
      </c>
      <c r="P41" s="16">
        <f t="shared" si="5"/>
        <v>20</v>
      </c>
      <c r="Q41" s="16">
        <f t="shared" ref="Q41:Q47" si="101">IF(($Q$3&lt;&gt;0),$Q$3*-10,5)</f>
        <v>-30</v>
      </c>
      <c r="R41" s="14">
        <v>1</v>
      </c>
      <c r="S41" s="15">
        <f t="shared" ref="S41" si="102">R41*10</f>
        <v>10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10</v>
      </c>
    </row>
    <row r="42" spans="1:23" ht="10.5" customHeight="1" x14ac:dyDescent="0.2">
      <c r="A42" s="11"/>
      <c r="B42" s="162">
        <f>COUNTA(Spieltag!K29:AA29)</f>
        <v>1</v>
      </c>
      <c r="C42" s="165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678</v>
      </c>
      <c r="H42" s="15">
        <f t="shared" ref="H42:H47" si="106">IF(G42="x",10,0)</f>
        <v>10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0</v>
      </c>
      <c r="P42" s="16">
        <f t="shared" si="5"/>
        <v>20</v>
      </c>
      <c r="Q42" s="16">
        <f t="shared" si="101"/>
        <v>-30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0</v>
      </c>
    </row>
    <row r="43" spans="1:23" ht="10.5" hidden="1" customHeight="1" x14ac:dyDescent="0.2">
      <c r="A43" s="11"/>
      <c r="B43" s="162">
        <f>COUNTA(Spieltag!K30:AA30)</f>
        <v>0</v>
      </c>
      <c r="C43" s="165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0</v>
      </c>
      <c r="P43" s="16">
        <f t="shared" si="5"/>
        <v>20</v>
      </c>
      <c r="Q43" s="16">
        <f t="shared" si="101"/>
        <v>-30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2">
        <f>COUNTA(Spieltag!K31:AA31)</f>
        <v>0</v>
      </c>
      <c r="C44" s="165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0</v>
      </c>
      <c r="P44" s="16">
        <f t="shared" si="5"/>
        <v>20</v>
      </c>
      <c r="Q44" s="16">
        <f t="shared" si="101"/>
        <v>-30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2">
        <f>COUNTA(Spieltag!K32:AA32)</f>
        <v>0</v>
      </c>
      <c r="C45" s="165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0</v>
      </c>
      <c r="P45" s="16">
        <f t="shared" si="5"/>
        <v>20</v>
      </c>
      <c r="Q45" s="16">
        <f t="shared" si="101"/>
        <v>-30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hidden="1" customHeight="1" x14ac:dyDescent="0.2">
      <c r="A46" s="11"/>
      <c r="B46" s="162">
        <f>COUNTA(Spieltag!K33:AA33)</f>
        <v>0</v>
      </c>
      <c r="C46" s="165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0</v>
      </c>
      <c r="P46" s="16">
        <f t="shared" si="5"/>
        <v>20</v>
      </c>
      <c r="Q46" s="16">
        <f t="shared" si="101"/>
        <v>-30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2">
        <f>COUNTA(Spieltag!K34:AA34)</f>
        <v>0</v>
      </c>
      <c r="C47" s="165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0</v>
      </c>
      <c r="P47" s="16">
        <f t="shared" si="5"/>
        <v>20</v>
      </c>
      <c r="Q47" s="16">
        <f t="shared" si="101"/>
        <v>-30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3" customFormat="1" ht="17.25" thickBot="1" x14ac:dyDescent="0.25">
      <c r="A48" s="141"/>
      <c r="B48" s="142">
        <f>SUM(B49:B82)</f>
        <v>18</v>
      </c>
      <c r="C48" s="157"/>
      <c r="D48" s="220" t="s">
        <v>32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1"/>
    </row>
    <row r="49" spans="1:23" ht="10.5" hidden="1" customHeight="1" x14ac:dyDescent="0.2">
      <c r="A49" s="11"/>
      <c r="B49" s="148">
        <f>COUNTA(Spieltag!K36:AA36)</f>
        <v>0</v>
      </c>
      <c r="C49" s="165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10</v>
      </c>
      <c r="P49" s="16">
        <f>IF(($P$5&lt;&gt;0),$P$5*10,-5)</f>
        <v>10</v>
      </c>
      <c r="Q49" s="16">
        <f>IF(($Q$5&lt;&gt;0),$Q$5*-10,20)</f>
        <v>-10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8">
        <f>COUNTA(Spieltag!K37:AA37)</f>
        <v>0</v>
      </c>
      <c r="C50" s="165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10</v>
      </c>
      <c r="P50" s="16">
        <f t="shared" ref="P50:P52" si="127">IF(($P$5&lt;&gt;0),$P$5*10,-5)</f>
        <v>10</v>
      </c>
      <c r="Q50" s="16">
        <f t="shared" ref="Q50:Q52" si="128">IF(($Q$5&lt;&gt;0),$Q$5*-10,20)</f>
        <v>-10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8">
        <f>COUNTA(Spieltag!K38:AA38)</f>
        <v>0</v>
      </c>
      <c r="C51" s="165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10</v>
      </c>
      <c r="P51" s="16">
        <f t="shared" si="127"/>
        <v>10</v>
      </c>
      <c r="Q51" s="16">
        <f t="shared" si="128"/>
        <v>-10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8">
        <f>COUNTA(Spieltag!K39:AA39)</f>
        <v>0</v>
      </c>
      <c r="C52" s="165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10</v>
      </c>
      <c r="P52" s="16">
        <f t="shared" si="127"/>
        <v>10</v>
      </c>
      <c r="Q52" s="16">
        <f t="shared" si="128"/>
        <v>-10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8">
        <f>COUNTA(Spieltag!K40:AA40)</f>
        <v>0</v>
      </c>
      <c r="C53" s="165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10</v>
      </c>
      <c r="P53" s="16">
        <f t="shared" ref="P53:P63" si="154">IF(($P$5&lt;&gt;0),$P$5*10,-5)</f>
        <v>10</v>
      </c>
      <c r="Q53" s="16">
        <f t="shared" ref="Q53:Q63" si="155">IF(($Q$5&lt;&gt;0),$Q$5*-10,15)</f>
        <v>-10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8">
        <f>COUNTA(Spieltag!K41:AA41)</f>
        <v>6</v>
      </c>
      <c r="C54" s="165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678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10</v>
      </c>
      <c r="P54" s="16">
        <f t="shared" si="154"/>
        <v>10</v>
      </c>
      <c r="Q54" s="16">
        <f t="shared" si="155"/>
        <v>-10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20</v>
      </c>
    </row>
    <row r="55" spans="1:23" ht="10.5" hidden="1" customHeight="1" x14ac:dyDescent="0.2">
      <c r="A55" s="11"/>
      <c r="B55" s="148">
        <f>COUNTA(Spieltag!K42:AA42)</f>
        <v>0</v>
      </c>
      <c r="C55" s="165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10</v>
      </c>
      <c r="P55" s="16">
        <f t="shared" si="154"/>
        <v>10</v>
      </c>
      <c r="Q55" s="16">
        <f t="shared" si="155"/>
        <v>-10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8">
        <f>COUNTA(Spieltag!K43:AA43)</f>
        <v>2</v>
      </c>
      <c r="C56" s="165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59</v>
      </c>
      <c r="H56" s="15">
        <f t="shared" si="160"/>
        <v>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10</v>
      </c>
      <c r="P56" s="16">
        <f t="shared" si="154"/>
        <v>10</v>
      </c>
      <c r="Q56" s="16">
        <f t="shared" si="155"/>
        <v>-10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hidden="1" customHeight="1" x14ac:dyDescent="0.2">
      <c r="A57" s="11"/>
      <c r="B57" s="148">
        <f>COUNTA(Spieltag!K44:AA44)</f>
        <v>0</v>
      </c>
      <c r="C57" s="165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10</v>
      </c>
      <c r="P57" s="16">
        <f t="shared" si="154"/>
        <v>10</v>
      </c>
      <c r="Q57" s="16">
        <f t="shared" si="155"/>
        <v>-10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8">
        <f>COUNTA(Spieltag!K45:AA45)</f>
        <v>0</v>
      </c>
      <c r="C58" s="165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10</v>
      </c>
      <c r="P58" s="16">
        <f t="shared" si="154"/>
        <v>10</v>
      </c>
      <c r="Q58" s="16">
        <f t="shared" si="155"/>
        <v>-10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8">
        <f>COUNTA(Spieltag!K46:AA46)</f>
        <v>3</v>
      </c>
      <c r="C59" s="165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678</v>
      </c>
      <c r="H59" s="15">
        <f t="shared" si="160"/>
        <v>10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10</v>
      </c>
      <c r="P59" s="16">
        <f t="shared" si="154"/>
        <v>10</v>
      </c>
      <c r="Q59" s="16">
        <f t="shared" si="155"/>
        <v>-10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20</v>
      </c>
    </row>
    <row r="60" spans="1:23" ht="10.5" hidden="1" customHeight="1" x14ac:dyDescent="0.2">
      <c r="A60" s="11"/>
      <c r="B60" s="148">
        <f>COUNTA(Spieltag!K47:AA47)</f>
        <v>0</v>
      </c>
      <c r="C60" s="165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10</v>
      </c>
      <c r="P60" s="16">
        <f t="shared" si="154"/>
        <v>10</v>
      </c>
      <c r="Q60" s="16">
        <f t="shared" si="155"/>
        <v>-10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8">
        <f>COUNTA(Spieltag!K48:AA48)</f>
        <v>0</v>
      </c>
      <c r="C61" s="165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10</v>
      </c>
      <c r="P61" s="16">
        <f t="shared" si="154"/>
        <v>10</v>
      </c>
      <c r="Q61" s="16">
        <f t="shared" si="155"/>
        <v>-10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8">
        <f>COUNTA(Spieltag!K49:AA49)</f>
        <v>0</v>
      </c>
      <c r="C62" s="165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10</v>
      </c>
      <c r="P62" s="16">
        <f t="shared" si="154"/>
        <v>10</v>
      </c>
      <c r="Q62" s="16">
        <f t="shared" si="155"/>
        <v>-10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8">
        <f>COUNTA(Spieltag!K50:AA50)</f>
        <v>0</v>
      </c>
      <c r="C63" s="165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10</v>
      </c>
      <c r="P63" s="16">
        <f t="shared" si="154"/>
        <v>10</v>
      </c>
      <c r="Q63" s="16">
        <f t="shared" si="155"/>
        <v>-10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8">
        <f>COUNTA(Spieltag!K51:AA51)</f>
        <v>0</v>
      </c>
      <c r="C64" s="165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10</v>
      </c>
      <c r="P64" s="16">
        <f t="shared" ref="P64:P82" si="189">IF(($P$5&lt;&gt;0),$P$5*10,-5)</f>
        <v>10</v>
      </c>
      <c r="Q64" s="16">
        <f t="shared" ref="Q64:Q74" si="190">IF(($Q$5&lt;&gt;0),$Q$5*-10,10)</f>
        <v>-10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8">
        <f>COUNTA(Spieltag!K52:AA52)</f>
        <v>0</v>
      </c>
      <c r="C65" s="165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10</v>
      </c>
      <c r="P65" s="16">
        <f t="shared" si="189"/>
        <v>10</v>
      </c>
      <c r="Q65" s="16">
        <f t="shared" si="190"/>
        <v>-10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8">
        <f>COUNTA(Spieltag!K53:AA53)</f>
        <v>0</v>
      </c>
      <c r="C66" s="165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10</v>
      </c>
      <c r="P66" s="16">
        <f t="shared" si="189"/>
        <v>10</v>
      </c>
      <c r="Q66" s="16">
        <f t="shared" si="190"/>
        <v>-10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8">
        <f>COUNTA(Spieltag!K54:AA54)</f>
        <v>0</v>
      </c>
      <c r="C67" s="165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10</v>
      </c>
      <c r="P67" s="16">
        <f t="shared" si="189"/>
        <v>10</v>
      </c>
      <c r="Q67" s="16">
        <f t="shared" si="190"/>
        <v>-10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8">
        <f>COUNTA(Spieltag!K55:AA55)</f>
        <v>2</v>
      </c>
      <c r="C68" s="165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678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10</v>
      </c>
      <c r="P68" s="16">
        <f t="shared" si="189"/>
        <v>10</v>
      </c>
      <c r="Q68" s="16">
        <f t="shared" si="190"/>
        <v>-10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20</v>
      </c>
    </row>
    <row r="69" spans="1:23" ht="10.5" customHeight="1" x14ac:dyDescent="0.2">
      <c r="A69" s="11" t="s">
        <v>81</v>
      </c>
      <c r="B69" s="148">
        <f>COUNTA(Spieltag!K56:AA56)</f>
        <v>1</v>
      </c>
      <c r="C69" s="165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 t="s">
        <v>678</v>
      </c>
      <c r="H69" s="15">
        <f t="shared" si="184"/>
        <v>10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10</v>
      </c>
      <c r="P69" s="16">
        <f t="shared" si="189"/>
        <v>10</v>
      </c>
      <c r="Q69" s="16">
        <f t="shared" si="190"/>
        <v>-10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20</v>
      </c>
    </row>
    <row r="70" spans="1:23" ht="10.5" customHeight="1" x14ac:dyDescent="0.2">
      <c r="A70" s="11" t="s">
        <v>81</v>
      </c>
      <c r="B70" s="148">
        <f>COUNTA(Spieltag!K57:AA57)</f>
        <v>1</v>
      </c>
      <c r="C70" s="165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 t="s">
        <v>678</v>
      </c>
      <c r="H70" s="15">
        <f t="shared" si="184"/>
        <v>10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10</v>
      </c>
      <c r="P70" s="16">
        <f t="shared" si="189"/>
        <v>10</v>
      </c>
      <c r="Q70" s="16">
        <f t="shared" si="190"/>
        <v>-10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20</v>
      </c>
    </row>
    <row r="71" spans="1:23" ht="10.5" hidden="1" customHeight="1" x14ac:dyDescent="0.2">
      <c r="A71" s="11" t="s">
        <v>81</v>
      </c>
      <c r="B71" s="148">
        <f>COUNTA(Spieltag!K58:AA58)</f>
        <v>0</v>
      </c>
      <c r="C71" s="165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10</v>
      </c>
      <c r="P71" s="16">
        <f t="shared" si="189"/>
        <v>10</v>
      </c>
      <c r="Q71" s="16">
        <f t="shared" si="190"/>
        <v>-10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8">
        <f>COUNTA(Spieltag!K59:AA59)</f>
        <v>0</v>
      </c>
      <c r="C72" s="165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10</v>
      </c>
      <c r="P72" s="16">
        <f t="shared" si="189"/>
        <v>10</v>
      </c>
      <c r="Q72" s="16">
        <f t="shared" si="190"/>
        <v>-10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8">
        <f>COUNTA(Spieltag!K60:AA60)</f>
        <v>0</v>
      </c>
      <c r="C73" s="165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10</v>
      </c>
      <c r="P73" s="16">
        <f t="shared" si="189"/>
        <v>10</v>
      </c>
      <c r="Q73" s="16">
        <f t="shared" si="190"/>
        <v>-10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8">
        <f>COUNTA(Spieltag!K61:AA61)</f>
        <v>0</v>
      </c>
      <c r="C74" s="165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10</v>
      </c>
      <c r="P74" s="16">
        <f t="shared" si="189"/>
        <v>10</v>
      </c>
      <c r="Q74" s="16">
        <f t="shared" si="190"/>
        <v>-10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8">
        <f>COUNTA(Spieltag!K62:AA62)</f>
        <v>0</v>
      </c>
      <c r="C75" s="165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10</v>
      </c>
      <c r="P75" s="16">
        <f t="shared" si="189"/>
        <v>10</v>
      </c>
      <c r="Q75" s="16">
        <f t="shared" ref="Q75:Q82" si="215">IF(($Q$5&lt;&gt;0),$Q$5*-10,5)</f>
        <v>-10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8">
        <f>COUNTA(Spieltag!K63:AA63)</f>
        <v>3</v>
      </c>
      <c r="C76" s="165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678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10</v>
      </c>
      <c r="P76" s="16">
        <f t="shared" si="189"/>
        <v>10</v>
      </c>
      <c r="Q76" s="16">
        <f t="shared" si="215"/>
        <v>-10</v>
      </c>
      <c r="R76" s="14">
        <v>1</v>
      </c>
      <c r="S76" s="15">
        <f t="shared" ref="S76" si="224">R76*10</f>
        <v>10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30</v>
      </c>
    </row>
    <row r="77" spans="1:23" ht="10.5" hidden="1" customHeight="1" x14ac:dyDescent="0.2">
      <c r="A77" s="11"/>
      <c r="B77" s="148">
        <f>COUNTA(Spieltag!K64:AA64)</f>
        <v>0</v>
      </c>
      <c r="C77" s="165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10</v>
      </c>
      <c r="P77" s="16">
        <f t="shared" si="189"/>
        <v>10</v>
      </c>
      <c r="Q77" s="16">
        <f t="shared" si="215"/>
        <v>-10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8">
        <f>COUNTA(Spieltag!K65:AA65)</f>
        <v>0</v>
      </c>
      <c r="C78" s="165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10</v>
      </c>
      <c r="P78" s="16">
        <f t="shared" si="189"/>
        <v>10</v>
      </c>
      <c r="Q78" s="16">
        <f t="shared" si="215"/>
        <v>-10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8">
        <f>COUNTA(Spieltag!K66:AA66)</f>
        <v>0</v>
      </c>
      <c r="C79" s="165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10</v>
      </c>
      <c r="P79" s="16">
        <f t="shared" si="189"/>
        <v>10</v>
      </c>
      <c r="Q79" s="16">
        <f t="shared" si="215"/>
        <v>-10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8">
        <f>COUNTA(Spieltag!K67:AA67)</f>
        <v>0</v>
      </c>
      <c r="C80" s="165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10</v>
      </c>
      <c r="P80" s="16">
        <f t="shared" si="189"/>
        <v>10</v>
      </c>
      <c r="Q80" s="16">
        <f t="shared" si="215"/>
        <v>-10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8">
        <f>COUNTA(Spieltag!K68:AA68)</f>
        <v>0</v>
      </c>
      <c r="C81" s="165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10</v>
      </c>
      <c r="P81" s="16">
        <f t="shared" si="189"/>
        <v>10</v>
      </c>
      <c r="Q81" s="16">
        <f t="shared" si="215"/>
        <v>-10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8">
        <f>COUNTA(Spieltag!K69:AA69)</f>
        <v>0</v>
      </c>
      <c r="C82" s="165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10</v>
      </c>
      <c r="P82" s="16">
        <f t="shared" si="189"/>
        <v>10</v>
      </c>
      <c r="Q82" s="16">
        <f t="shared" si="215"/>
        <v>-10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3" customFormat="1" ht="17.25" thickBot="1" x14ac:dyDescent="0.25">
      <c r="A83" s="141"/>
      <c r="B83" s="142">
        <f>SUM(B84:B109)</f>
        <v>16</v>
      </c>
      <c r="C83" s="157"/>
      <c r="D83" s="220" t="s">
        <v>128</v>
      </c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1"/>
    </row>
    <row r="84" spans="1:23" ht="10.5" hidden="1" customHeight="1" x14ac:dyDescent="0.2">
      <c r="A84" s="11"/>
      <c r="B84" s="148">
        <f>COUNTA(Spieltag!K71:AA71)</f>
        <v>0</v>
      </c>
      <c r="C84" s="165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20</v>
      </c>
      <c r="Q84" s="16">
        <f>IF(($Q$8&lt;&gt;0),$Q$8*-10,20)</f>
        <v>20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8">
        <f>COUNTA(Spieltag!K72:AA72)</f>
        <v>0</v>
      </c>
      <c r="C85" s="165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20</v>
      </c>
      <c r="Q85" s="16">
        <f>IF(($Q$8&lt;&gt;0),$Q$8*-10,20)</f>
        <v>20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8">
        <f>COUNTA(Spieltag!K73:AA73)</f>
        <v>0</v>
      </c>
      <c r="C86" s="165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20</v>
      </c>
      <c r="Q86" s="16">
        <f t="shared" ref="Q86:Q87" si="262">IF(($Q$8&lt;&gt;0),$Q$8*-10,20)</f>
        <v>20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8">
        <f>COUNTA(Spieltag!K74:AA74)</f>
        <v>0</v>
      </c>
      <c r="C87" s="165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20</v>
      </c>
      <c r="Q87" s="16">
        <f t="shared" si="262"/>
        <v>20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8">
        <f>COUNTA(Spieltag!K75:AA75)</f>
        <v>0</v>
      </c>
      <c r="C88" s="165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20</v>
      </c>
      <c r="Q88" s="16">
        <f t="shared" ref="Q88:Q96" si="273">IF(($Q$8&lt;&gt;0),$Q$8*-10,15)</f>
        <v>15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8">
        <f>COUNTA(Spieltag!K76:AA76)</f>
        <v>0</v>
      </c>
      <c r="C89" s="165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20</v>
      </c>
      <c r="Q89" s="16">
        <f t="shared" si="273"/>
        <v>15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8">
        <f>COUNTA(Spieltag!K77:AA77)</f>
        <v>1</v>
      </c>
      <c r="C90" s="165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678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20</v>
      </c>
      <c r="Q90" s="16">
        <f t="shared" si="273"/>
        <v>15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65</v>
      </c>
    </row>
    <row r="91" spans="1:23" ht="10.5" hidden="1" customHeight="1" x14ac:dyDescent="0.2">
      <c r="A91" s="11"/>
      <c r="B91" s="148">
        <f>COUNTA(Spieltag!K78:AA78)</f>
        <v>0</v>
      </c>
      <c r="C91" s="165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20</v>
      </c>
      <c r="Q91" s="16">
        <f t="shared" si="273"/>
        <v>15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customHeight="1" x14ac:dyDescent="0.2">
      <c r="A92" s="11"/>
      <c r="B92" s="148">
        <f>COUNTA(Spieltag!K79:AA79)</f>
        <v>1</v>
      </c>
      <c r="C92" s="165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 t="s">
        <v>678</v>
      </c>
      <c r="H92" s="15">
        <f t="shared" si="283"/>
        <v>10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20</v>
      </c>
      <c r="Q92" s="16">
        <f t="shared" si="273"/>
        <v>15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65</v>
      </c>
    </row>
    <row r="93" spans="1:23" ht="10.5" customHeight="1" x14ac:dyDescent="0.2">
      <c r="A93" s="11"/>
      <c r="B93" s="148">
        <f>COUNTA(Spieltag!K80:AA80)</f>
        <v>5</v>
      </c>
      <c r="C93" s="165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678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20</v>
      </c>
      <c r="Q93" s="16">
        <f t="shared" si="273"/>
        <v>15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65</v>
      </c>
    </row>
    <row r="94" spans="1:23" ht="10.5" hidden="1" customHeight="1" x14ac:dyDescent="0.2">
      <c r="A94" s="11"/>
      <c r="B94" s="148">
        <f>COUNTA(Spieltag!K81:AA81)</f>
        <v>0</v>
      </c>
      <c r="C94" s="165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20</v>
      </c>
      <c r="Q94" s="16">
        <f t="shared" si="273"/>
        <v>15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8">
        <f>COUNTA(Spieltag!K82:AA82)</f>
        <v>0</v>
      </c>
      <c r="C95" s="165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20</v>
      </c>
      <c r="Q95" s="16">
        <f t="shared" si="273"/>
        <v>15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8">
        <f>COUNTA(Spieltag!K83:AA83)</f>
        <v>0</v>
      </c>
      <c r="C96" s="165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20</v>
      </c>
      <c r="Q96" s="16">
        <f t="shared" si="273"/>
        <v>15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8">
        <f>COUNTA(Spieltag!K84:AA84)</f>
        <v>0</v>
      </c>
      <c r="C97" s="165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20</v>
      </c>
      <c r="Q97" s="16">
        <f t="shared" ref="Q97:Q105" si="303">IF(($Q$8&lt;&gt;0),$Q$8*-10,10)</f>
        <v>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8">
        <f>COUNTA(Spieltag!K85:AA85)</f>
        <v>3</v>
      </c>
      <c r="C98" s="165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678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20</v>
      </c>
      <c r="Q98" s="16">
        <f t="shared" si="303"/>
        <v>10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60</v>
      </c>
    </row>
    <row r="99" spans="1:23" ht="10.5" hidden="1" customHeight="1" x14ac:dyDescent="0.2">
      <c r="A99" s="11"/>
      <c r="B99" s="148">
        <f>COUNTA(Spieltag!K86:AA86)</f>
        <v>0</v>
      </c>
      <c r="C99" s="165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20</v>
      </c>
      <c r="Q99" s="16">
        <f t="shared" si="303"/>
        <v>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8">
        <f>COUNTA(Spieltag!K87:AA87)</f>
        <v>0</v>
      </c>
      <c r="C100" s="165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20</v>
      </c>
      <c r="Q100" s="16">
        <f t="shared" si="303"/>
        <v>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8">
        <f>COUNTA(Spieltag!K88:AA88)</f>
        <v>0</v>
      </c>
      <c r="C101" s="165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20</v>
      </c>
      <c r="Q101" s="16">
        <f t="shared" si="303"/>
        <v>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8">
        <f>COUNTA(Spieltag!K89:AA89)</f>
        <v>4</v>
      </c>
      <c r="C102" s="165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678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20</v>
      </c>
      <c r="Q102" s="16">
        <f t="shared" si="303"/>
        <v>10</v>
      </c>
      <c r="R102" s="14">
        <v>1</v>
      </c>
      <c r="S102" s="15">
        <f t="shared" si="312"/>
        <v>10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70</v>
      </c>
    </row>
    <row r="103" spans="1:23" ht="10.5" hidden="1" customHeight="1" x14ac:dyDescent="0.2">
      <c r="A103" s="11"/>
      <c r="B103" s="148">
        <f>COUNTA(Spieltag!K90:AA90)</f>
        <v>0</v>
      </c>
      <c r="C103" s="165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20</v>
      </c>
      <c r="Q103" s="16">
        <f t="shared" si="303"/>
        <v>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8">
        <f>COUNTA(Spieltag!K91:AA91)</f>
        <v>0</v>
      </c>
      <c r="C104" s="165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20</v>
      </c>
      <c r="Q104" s="16">
        <f t="shared" si="303"/>
        <v>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8">
        <f>COUNTA(Spieltag!K92:AA92)</f>
        <v>0</v>
      </c>
      <c r="C105" s="165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20</v>
      </c>
      <c r="Q105" s="16">
        <f t="shared" si="303"/>
        <v>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8">
        <f>COUNTA(Spieltag!K93:AA93)</f>
        <v>0</v>
      </c>
      <c r="C106" s="165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20</v>
      </c>
      <c r="Q106" s="16">
        <f>IF(($Q$8&lt;&gt;0),$Q$8*-10,5)</f>
        <v>5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8">
        <f>COUNTA(Spieltag!K94:AA94)</f>
        <v>1</v>
      </c>
      <c r="C107" s="165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678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20</v>
      </c>
      <c r="Q107" s="16">
        <f t="shared" ref="Q107:Q109" si="330">IF(($Q$8&lt;&gt;0),$Q$8*-10,5)</f>
        <v>5</v>
      </c>
      <c r="R107" s="14">
        <v>1</v>
      </c>
      <c r="S107" s="15">
        <f t="shared" ref="S107:S109" si="331">R107*10</f>
        <v>10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65</v>
      </c>
    </row>
    <row r="108" spans="1:23" ht="10.5" customHeight="1" x14ac:dyDescent="0.2">
      <c r="A108" s="11" t="s">
        <v>155</v>
      </c>
      <c r="B108" s="148">
        <f>COUNTA(Spieltag!K95:AA95)</f>
        <v>1</v>
      </c>
      <c r="C108" s="165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 t="s">
        <v>678</v>
      </c>
      <c r="H108" s="15">
        <f t="shared" ref="H108" si="335">IF(G108="x",10,0)</f>
        <v>10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20</v>
      </c>
      <c r="Q108" s="16">
        <f t="shared" si="330"/>
        <v>5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55</v>
      </c>
    </row>
    <row r="109" spans="1:23" ht="10.5" hidden="1" customHeight="1" x14ac:dyDescent="0.2">
      <c r="A109" s="11" t="s">
        <v>155</v>
      </c>
      <c r="B109" s="148">
        <f>COUNTA(Spieltag!K96:AA96)</f>
        <v>0</v>
      </c>
      <c r="C109" s="165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20</v>
      </c>
      <c r="Q109" s="16">
        <f t="shared" si="330"/>
        <v>5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3" customFormat="1" ht="17.25" thickBot="1" x14ac:dyDescent="0.25">
      <c r="A110" s="141"/>
      <c r="B110" s="142">
        <f>SUM(A111:B136)</f>
        <v>1</v>
      </c>
      <c r="C110" s="157"/>
      <c r="D110" s="220" t="s">
        <v>177</v>
      </c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1"/>
    </row>
    <row r="111" spans="1:23" ht="10.5" hidden="1" customHeight="1" x14ac:dyDescent="0.2">
      <c r="A111" s="11"/>
      <c r="B111" s="149">
        <f>COUNTA(Spieltag!K98:AA98)</f>
        <v>0</v>
      </c>
      <c r="C111" s="165">
        <f>Spieltag!A98</f>
        <v>1</v>
      </c>
      <c r="D111" s="21" t="str">
        <f>Spieltag!B98</f>
        <v>Frederik Rønnow (A)</v>
      </c>
      <c r="E111" s="150" t="str">
        <f>Spieltag!C98</f>
        <v>Torwart</v>
      </c>
      <c r="F111" s="151" t="s">
        <v>178</v>
      </c>
      <c r="G111" s="152"/>
      <c r="H111" s="153">
        <f>IF(G111="x",10,0)</f>
        <v>0</v>
      </c>
      <c r="I111" s="152"/>
      <c r="J111" s="153">
        <f>IF((I111="x"),-10,0)</f>
        <v>0</v>
      </c>
      <c r="K111" s="152"/>
      <c r="L111" s="153">
        <f>IF((K111="x"),-20,0)</f>
        <v>0</v>
      </c>
      <c r="M111" s="152"/>
      <c r="N111" s="153">
        <f>IF((M111="x"),-30,0)</f>
        <v>0</v>
      </c>
      <c r="O111" s="154">
        <f t="shared" ref="O111:O136" si="343">IF(AND($V$4&gt;$W$4),20,IF($V$4=$W$4,10,0))</f>
        <v>20</v>
      </c>
      <c r="P111" s="154">
        <f t="shared" ref="P111:P136" si="344">IF(($V$4&lt;&gt;0),$V$4*10,-5)</f>
        <v>10</v>
      </c>
      <c r="Q111" s="154">
        <f>IF(($W$4&lt;&gt;0),$W$4*-10,20)</f>
        <v>20</v>
      </c>
      <c r="R111" s="152"/>
      <c r="S111" s="153">
        <f>R111*20</f>
        <v>0</v>
      </c>
      <c r="T111" s="152"/>
      <c r="U111" s="153">
        <f>T111*-15</f>
        <v>0</v>
      </c>
      <c r="V111" s="154">
        <f>IF(AND(R111=2),10,IF(R111=3,30,IF(R111=4,50,IF(R111=5,70,0))))</f>
        <v>0</v>
      </c>
      <c r="W111" s="155">
        <f>IF(G111="x",H111+J111+L111+N111+O111+P111+Q111+S111+U111+V111,0)</f>
        <v>0</v>
      </c>
    </row>
    <row r="112" spans="1:23" ht="10.5" hidden="1" customHeight="1" x14ac:dyDescent="0.2">
      <c r="A112" s="11"/>
      <c r="B112" s="149">
        <f>COUNTA(Spieltag!K99:AA99)</f>
        <v>0</v>
      </c>
      <c r="C112" s="165">
        <f>Spieltag!A99</f>
        <v>12</v>
      </c>
      <c r="D112" s="21" t="str">
        <f>Spieltag!B99</f>
        <v>Jakob Busk (A)</v>
      </c>
      <c r="E112" s="150" t="str">
        <f>Spieltag!C99</f>
        <v>Torwart</v>
      </c>
      <c r="F112" s="151" t="s">
        <v>178</v>
      </c>
      <c r="G112" s="152"/>
      <c r="H112" s="153">
        <f t="shared" ref="H112:H114" si="345">IF(G112="x",10,0)</f>
        <v>0</v>
      </c>
      <c r="I112" s="152"/>
      <c r="J112" s="153">
        <f t="shared" ref="J112:J114" si="346">IF((I112="x"),-10,0)</f>
        <v>0</v>
      </c>
      <c r="K112" s="152"/>
      <c r="L112" s="153">
        <f t="shared" ref="L112:L114" si="347">IF((K112="x"),-20,0)</f>
        <v>0</v>
      </c>
      <c r="M112" s="152"/>
      <c r="N112" s="153">
        <f t="shared" ref="N112:N114" si="348">IF((M112="x"),-30,0)</f>
        <v>0</v>
      </c>
      <c r="O112" s="154">
        <f t="shared" si="343"/>
        <v>20</v>
      </c>
      <c r="P112" s="154">
        <f t="shared" si="344"/>
        <v>10</v>
      </c>
      <c r="Q112" s="154">
        <f t="shared" ref="Q112:Q114" si="349">IF(($W$4&lt;&gt;0),$W$4*-10,20)</f>
        <v>20</v>
      </c>
      <c r="R112" s="152"/>
      <c r="S112" s="153">
        <f t="shared" ref="S112:S114" si="350">R112*20</f>
        <v>0</v>
      </c>
      <c r="T112" s="152"/>
      <c r="U112" s="153">
        <f t="shared" ref="U112:U114" si="351">T112*-15</f>
        <v>0</v>
      </c>
      <c r="V112" s="154">
        <f t="shared" ref="V112:V114" si="352">IF(AND(R112=2),10,IF(R112=3,30,IF(R112=4,50,IF(R112=5,70,0))))</f>
        <v>0</v>
      </c>
      <c r="W112" s="155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49">
        <f>COUNTA(Spieltag!K100:AA100)</f>
        <v>0</v>
      </c>
      <c r="C113" s="165">
        <f>Spieltag!A100</f>
        <v>37</v>
      </c>
      <c r="D113" s="21" t="str">
        <f>Spieltag!B100</f>
        <v>Alexander Schwolow</v>
      </c>
      <c r="E113" s="150" t="str">
        <f>Spieltag!C100</f>
        <v>Torwart</v>
      </c>
      <c r="F113" s="151" t="s">
        <v>178</v>
      </c>
      <c r="G113" s="152"/>
      <c r="H113" s="153">
        <f t="shared" ref="H113" si="354">IF(G113="x",10,0)</f>
        <v>0</v>
      </c>
      <c r="I113" s="152"/>
      <c r="J113" s="153">
        <f t="shared" ref="J113" si="355">IF((I113="x"),-10,0)</f>
        <v>0</v>
      </c>
      <c r="K113" s="152"/>
      <c r="L113" s="153">
        <f t="shared" ref="L113" si="356">IF((K113="x"),-20,0)</f>
        <v>0</v>
      </c>
      <c r="M113" s="152"/>
      <c r="N113" s="153">
        <f t="shared" ref="N113" si="357">IF((M113="x"),-30,0)</f>
        <v>0</v>
      </c>
      <c r="O113" s="154">
        <f t="shared" si="343"/>
        <v>20</v>
      </c>
      <c r="P113" s="154">
        <f t="shared" si="344"/>
        <v>10</v>
      </c>
      <c r="Q113" s="154">
        <f t="shared" si="349"/>
        <v>20</v>
      </c>
      <c r="R113" s="152"/>
      <c r="S113" s="153">
        <f t="shared" ref="S113" si="358">R113*20</f>
        <v>0</v>
      </c>
      <c r="T113" s="152"/>
      <c r="U113" s="153">
        <f t="shared" ref="U113" si="359">T113*-15</f>
        <v>0</v>
      </c>
      <c r="V113" s="154">
        <f t="shared" ref="V113" si="360">IF(AND(R113=2),10,IF(R113=3,30,IF(R113=4,50,IF(R113=5,70,0))))</f>
        <v>0</v>
      </c>
      <c r="W113" s="155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49">
        <f>COUNTA(Spieltag!K101:AA101)</f>
        <v>0</v>
      </c>
      <c r="C114" s="165">
        <f>Spieltag!A101</f>
        <v>39</v>
      </c>
      <c r="D114" s="21" t="str">
        <f>Spieltag!B101</f>
        <v>Yannic Stein</v>
      </c>
      <c r="E114" s="150" t="str">
        <f>Spieltag!C101</f>
        <v>Torwart</v>
      </c>
      <c r="F114" s="151" t="s">
        <v>178</v>
      </c>
      <c r="G114" s="152"/>
      <c r="H114" s="153">
        <f t="shared" si="345"/>
        <v>0</v>
      </c>
      <c r="I114" s="152"/>
      <c r="J114" s="153">
        <f t="shared" si="346"/>
        <v>0</v>
      </c>
      <c r="K114" s="152"/>
      <c r="L114" s="153">
        <f t="shared" si="347"/>
        <v>0</v>
      </c>
      <c r="M114" s="152"/>
      <c r="N114" s="153">
        <f t="shared" si="348"/>
        <v>0</v>
      </c>
      <c r="O114" s="154">
        <f t="shared" si="343"/>
        <v>20</v>
      </c>
      <c r="P114" s="154">
        <f t="shared" si="344"/>
        <v>10</v>
      </c>
      <c r="Q114" s="154">
        <f t="shared" si="349"/>
        <v>20</v>
      </c>
      <c r="R114" s="152"/>
      <c r="S114" s="153">
        <f t="shared" si="350"/>
        <v>0</v>
      </c>
      <c r="T114" s="152"/>
      <c r="U114" s="153">
        <f t="shared" si="351"/>
        <v>0</v>
      </c>
      <c r="V114" s="154">
        <f t="shared" si="352"/>
        <v>0</v>
      </c>
      <c r="W114" s="155">
        <f t="shared" si="353"/>
        <v>0</v>
      </c>
    </row>
    <row r="115" spans="1:23" ht="10.5" hidden="1" customHeight="1" x14ac:dyDescent="0.2">
      <c r="A115" s="11"/>
      <c r="B115" s="149">
        <f>COUNTA(Spieltag!K102:AA102)</f>
        <v>0</v>
      </c>
      <c r="C115" s="165">
        <f>Spieltag!A102</f>
        <v>2</v>
      </c>
      <c r="D115" s="21" t="str">
        <f>Spieltag!B102</f>
        <v>Kevin Vogt</v>
      </c>
      <c r="E115" s="150" t="str">
        <f>Spieltag!C102</f>
        <v>Abwehr</v>
      </c>
      <c r="F115" s="151" t="s">
        <v>178</v>
      </c>
      <c r="G115" s="152"/>
      <c r="H115" s="153">
        <f t="shared" ref="H115" si="362">IF(G115="x",10,0)</f>
        <v>0</v>
      </c>
      <c r="I115" s="152"/>
      <c r="J115" s="153">
        <f t="shared" ref="J115" si="363">IF((I115="x"),-10,0)</f>
        <v>0</v>
      </c>
      <c r="K115" s="152"/>
      <c r="L115" s="153">
        <f t="shared" ref="L115" si="364">IF((K115="x"),-20,0)</f>
        <v>0</v>
      </c>
      <c r="M115" s="152"/>
      <c r="N115" s="153">
        <f t="shared" ref="N115" si="365">IF((M115="x"),-30,0)</f>
        <v>0</v>
      </c>
      <c r="O115" s="154">
        <f t="shared" si="343"/>
        <v>20</v>
      </c>
      <c r="P115" s="154">
        <f t="shared" si="344"/>
        <v>10</v>
      </c>
      <c r="Q115" s="154">
        <f t="shared" ref="Q115:Q124" si="366">IF(($W$4&lt;&gt;0),$W$4*-10,15)</f>
        <v>15</v>
      </c>
      <c r="R115" s="152"/>
      <c r="S115" s="153">
        <f t="shared" ref="S115" si="367">R115*15</f>
        <v>0</v>
      </c>
      <c r="T115" s="152"/>
      <c r="U115" s="153">
        <f t="shared" ref="U115" si="368">T115*-15</f>
        <v>0</v>
      </c>
      <c r="V115" s="154">
        <f t="shared" ref="V115" si="369">IF(AND(R115=2),10,IF(R115=3,30,IF(R115=4,50,IF(R115=5,70,0))))</f>
        <v>0</v>
      </c>
      <c r="W115" s="155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49">
        <f>COUNTA(Spieltag!K103:AA103)</f>
        <v>0</v>
      </c>
      <c r="C116" s="165">
        <f>Spieltag!A103</f>
        <v>3</v>
      </c>
      <c r="D116" s="21" t="str">
        <f>Spieltag!B103</f>
        <v>Paul Jaeckel</v>
      </c>
      <c r="E116" s="150" t="str">
        <f>Spieltag!C103</f>
        <v>Abwehr</v>
      </c>
      <c r="F116" s="151" t="s">
        <v>178</v>
      </c>
      <c r="G116" s="152"/>
      <c r="H116" s="153">
        <f t="shared" ref="H116:H124" si="371">IF(G116="x",10,0)</f>
        <v>0</v>
      </c>
      <c r="I116" s="152"/>
      <c r="J116" s="153">
        <f t="shared" ref="J116:J124" si="372">IF((I116="x"),-10,0)</f>
        <v>0</v>
      </c>
      <c r="K116" s="152"/>
      <c r="L116" s="153">
        <f t="shared" ref="L116:L124" si="373">IF((K116="x"),-20,0)</f>
        <v>0</v>
      </c>
      <c r="M116" s="152"/>
      <c r="N116" s="153">
        <f t="shared" ref="N116:N124" si="374">IF((M116="x"),-30,0)</f>
        <v>0</v>
      </c>
      <c r="O116" s="154">
        <f t="shared" si="343"/>
        <v>20</v>
      </c>
      <c r="P116" s="154">
        <f t="shared" si="344"/>
        <v>10</v>
      </c>
      <c r="Q116" s="154">
        <f t="shared" si="366"/>
        <v>15</v>
      </c>
      <c r="R116" s="152"/>
      <c r="S116" s="153">
        <f t="shared" ref="S116:S124" si="375">R116*15</f>
        <v>0</v>
      </c>
      <c r="T116" s="152"/>
      <c r="U116" s="153">
        <f t="shared" ref="U116:U124" si="376">T116*-15</f>
        <v>0</v>
      </c>
      <c r="V116" s="154">
        <f t="shared" ref="V116:V124" si="377">IF(AND(R116=2),10,IF(R116=3,30,IF(R116=4,50,IF(R116=5,70,0))))</f>
        <v>0</v>
      </c>
      <c r="W116" s="155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49">
        <f>COUNTA(Spieltag!K104:AA104)</f>
        <v>0</v>
      </c>
      <c r="C117" s="165">
        <f>Spieltag!A104</f>
        <v>4</v>
      </c>
      <c r="D117" s="21" t="str">
        <f>Spieltag!B104</f>
        <v>Diogo Leite (A)</v>
      </c>
      <c r="E117" s="150" t="str">
        <f>Spieltag!C104</f>
        <v>Abwehr</v>
      </c>
      <c r="F117" s="151" t="s">
        <v>178</v>
      </c>
      <c r="G117" s="152"/>
      <c r="H117" s="153">
        <f t="shared" si="371"/>
        <v>0</v>
      </c>
      <c r="I117" s="152"/>
      <c r="J117" s="153">
        <f t="shared" si="372"/>
        <v>0</v>
      </c>
      <c r="K117" s="152"/>
      <c r="L117" s="153">
        <f t="shared" si="373"/>
        <v>0</v>
      </c>
      <c r="M117" s="152"/>
      <c r="N117" s="153">
        <f t="shared" si="374"/>
        <v>0</v>
      </c>
      <c r="O117" s="154">
        <f t="shared" si="343"/>
        <v>20</v>
      </c>
      <c r="P117" s="154">
        <f t="shared" si="344"/>
        <v>10</v>
      </c>
      <c r="Q117" s="154">
        <f t="shared" si="366"/>
        <v>15</v>
      </c>
      <c r="R117" s="152"/>
      <c r="S117" s="153">
        <f t="shared" si="375"/>
        <v>0</v>
      </c>
      <c r="T117" s="152"/>
      <c r="U117" s="153">
        <f t="shared" si="376"/>
        <v>0</v>
      </c>
      <c r="V117" s="154">
        <f t="shared" si="377"/>
        <v>0</v>
      </c>
      <c r="W117" s="155">
        <f t="shared" si="378"/>
        <v>0</v>
      </c>
    </row>
    <row r="118" spans="1:23" ht="10.5" hidden="1" customHeight="1" x14ac:dyDescent="0.2">
      <c r="A118" s="11"/>
      <c r="B118" s="149">
        <f>COUNTA(Spieltag!K105:AA105)</f>
        <v>0</v>
      </c>
      <c r="C118" s="165">
        <f>Spieltag!A105</f>
        <v>5</v>
      </c>
      <c r="D118" s="21" t="str">
        <f>Spieltag!B105</f>
        <v>Danilho Doekhi (A)</v>
      </c>
      <c r="E118" s="150" t="str">
        <f>Spieltag!C105</f>
        <v>Abwehr</v>
      </c>
      <c r="F118" s="151" t="s">
        <v>178</v>
      </c>
      <c r="G118" s="152"/>
      <c r="H118" s="153">
        <f t="shared" ref="H118" si="379">IF(G118="x",10,0)</f>
        <v>0</v>
      </c>
      <c r="I118" s="152"/>
      <c r="J118" s="153">
        <f t="shared" ref="J118" si="380">IF((I118="x"),-10,0)</f>
        <v>0</v>
      </c>
      <c r="K118" s="152"/>
      <c r="L118" s="153">
        <f t="shared" ref="L118" si="381">IF((K118="x"),-20,0)</f>
        <v>0</v>
      </c>
      <c r="M118" s="152"/>
      <c r="N118" s="153">
        <f t="shared" ref="N118" si="382">IF((M118="x"),-30,0)</f>
        <v>0</v>
      </c>
      <c r="O118" s="154">
        <f t="shared" si="343"/>
        <v>20</v>
      </c>
      <c r="P118" s="154">
        <f t="shared" si="344"/>
        <v>10</v>
      </c>
      <c r="Q118" s="154">
        <f t="shared" si="366"/>
        <v>15</v>
      </c>
      <c r="R118" s="152"/>
      <c r="S118" s="153">
        <f t="shared" ref="S118" si="383">R118*15</f>
        <v>0</v>
      </c>
      <c r="T118" s="152"/>
      <c r="U118" s="153">
        <f t="shared" ref="U118" si="384">T118*-15</f>
        <v>0</v>
      </c>
      <c r="V118" s="154">
        <f t="shared" ref="V118" si="385">IF(AND(R118=2),10,IF(R118=3,30,IF(R118=4,50,IF(R118=5,70,0))))</f>
        <v>0</v>
      </c>
      <c r="W118" s="155">
        <f t="shared" ref="W118" si="386">IF(G118="x",H118+J118+L118+N118+O118+P118+Q118+S118+U118+V118,0)</f>
        <v>0</v>
      </c>
    </row>
    <row r="119" spans="1:23" ht="10.5" customHeight="1" x14ac:dyDescent="0.2">
      <c r="A119" s="11"/>
      <c r="B119" s="149">
        <f>COUNTA(Spieltag!K106:AA106)</f>
        <v>1</v>
      </c>
      <c r="C119" s="165">
        <f>Spieltag!A106</f>
        <v>6</v>
      </c>
      <c r="D119" s="21" t="str">
        <f>Spieltag!B106</f>
        <v>Robin Gosens</v>
      </c>
      <c r="E119" s="150" t="str">
        <f>Spieltag!C106</f>
        <v>Abwehr</v>
      </c>
      <c r="F119" s="151" t="s">
        <v>178</v>
      </c>
      <c r="G119" s="152" t="s">
        <v>678</v>
      </c>
      <c r="H119" s="153">
        <f t="shared" si="371"/>
        <v>10</v>
      </c>
      <c r="I119" s="152"/>
      <c r="J119" s="153">
        <f t="shared" si="372"/>
        <v>0</v>
      </c>
      <c r="K119" s="152"/>
      <c r="L119" s="153">
        <f t="shared" si="373"/>
        <v>0</v>
      </c>
      <c r="M119" s="152"/>
      <c r="N119" s="153">
        <f t="shared" si="374"/>
        <v>0</v>
      </c>
      <c r="O119" s="154">
        <f t="shared" si="343"/>
        <v>20</v>
      </c>
      <c r="P119" s="154">
        <f t="shared" si="344"/>
        <v>10</v>
      </c>
      <c r="Q119" s="154">
        <f t="shared" si="366"/>
        <v>15</v>
      </c>
      <c r="R119" s="152"/>
      <c r="S119" s="153">
        <f t="shared" si="375"/>
        <v>0</v>
      </c>
      <c r="T119" s="152"/>
      <c r="U119" s="153">
        <f t="shared" si="376"/>
        <v>0</v>
      </c>
      <c r="V119" s="154">
        <f t="shared" si="377"/>
        <v>0</v>
      </c>
      <c r="W119" s="155">
        <f t="shared" si="378"/>
        <v>55</v>
      </c>
    </row>
    <row r="120" spans="1:23" ht="10.5" hidden="1" customHeight="1" x14ac:dyDescent="0.2">
      <c r="A120" s="11"/>
      <c r="B120" s="149">
        <f>COUNTA(Spieltag!K107:AA107)</f>
        <v>0</v>
      </c>
      <c r="C120" s="165">
        <f>Spieltag!A107</f>
        <v>18</v>
      </c>
      <c r="D120" s="21" t="str">
        <f>Spieltag!B107</f>
        <v>Josip Juranovic (A)</v>
      </c>
      <c r="E120" s="150" t="str">
        <f>Spieltag!C107</f>
        <v>Abwehr</v>
      </c>
      <c r="F120" s="151" t="s">
        <v>178</v>
      </c>
      <c r="G120" s="152"/>
      <c r="H120" s="153">
        <f t="shared" ref="H120" si="387">IF(G120="x",10,0)</f>
        <v>0</v>
      </c>
      <c r="I120" s="152"/>
      <c r="J120" s="153">
        <f t="shared" ref="J120" si="388">IF((I120="x"),-10,0)</f>
        <v>0</v>
      </c>
      <c r="K120" s="152"/>
      <c r="L120" s="153">
        <f t="shared" ref="L120" si="389">IF((K120="x"),-20,0)</f>
        <v>0</v>
      </c>
      <c r="M120" s="152"/>
      <c r="N120" s="153">
        <f t="shared" ref="N120" si="390">IF((M120="x"),-30,0)</f>
        <v>0</v>
      </c>
      <c r="O120" s="154">
        <f t="shared" si="343"/>
        <v>20</v>
      </c>
      <c r="P120" s="154">
        <f t="shared" si="344"/>
        <v>10</v>
      </c>
      <c r="Q120" s="154">
        <f t="shared" si="366"/>
        <v>15</v>
      </c>
      <c r="R120" s="152"/>
      <c r="S120" s="153">
        <f t="shared" ref="S120" si="391">R120*15</f>
        <v>0</v>
      </c>
      <c r="T120" s="152"/>
      <c r="U120" s="153">
        <f t="shared" ref="U120" si="392">T120*-15</f>
        <v>0</v>
      </c>
      <c r="V120" s="154">
        <f t="shared" ref="V120" si="393">IF(AND(R120=2),10,IF(R120=3,30,IF(R120=4,50,IF(R120=5,70,0))))</f>
        <v>0</v>
      </c>
      <c r="W120" s="155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49">
        <f>COUNTA(Spieltag!K108:AA108)</f>
        <v>0</v>
      </c>
      <c r="C121" s="165">
        <f>Spieltag!A108</f>
        <v>26</v>
      </c>
      <c r="D121" s="21" t="str">
        <f>Spieltag!B108</f>
        <v>Jerome Roussillon (A)</v>
      </c>
      <c r="E121" s="150" t="str">
        <f>Spieltag!C108</f>
        <v>Abwehr</v>
      </c>
      <c r="F121" s="151" t="s">
        <v>178</v>
      </c>
      <c r="G121" s="152"/>
      <c r="H121" s="153">
        <f t="shared" si="371"/>
        <v>0</v>
      </c>
      <c r="I121" s="152"/>
      <c r="J121" s="153">
        <f t="shared" si="372"/>
        <v>0</v>
      </c>
      <c r="K121" s="152"/>
      <c r="L121" s="153">
        <f t="shared" si="373"/>
        <v>0</v>
      </c>
      <c r="M121" s="152"/>
      <c r="N121" s="153">
        <f t="shared" si="374"/>
        <v>0</v>
      </c>
      <c r="O121" s="154">
        <f t="shared" si="343"/>
        <v>20</v>
      </c>
      <c r="P121" s="154">
        <f t="shared" si="344"/>
        <v>10</v>
      </c>
      <c r="Q121" s="154">
        <f t="shared" si="366"/>
        <v>15</v>
      </c>
      <c r="R121" s="152"/>
      <c r="S121" s="153">
        <f t="shared" si="375"/>
        <v>0</v>
      </c>
      <c r="T121" s="152"/>
      <c r="U121" s="153">
        <f t="shared" si="376"/>
        <v>0</v>
      </c>
      <c r="V121" s="154">
        <f t="shared" si="377"/>
        <v>0</v>
      </c>
      <c r="W121" s="155">
        <f t="shared" si="378"/>
        <v>0</v>
      </c>
    </row>
    <row r="122" spans="1:23" ht="10.5" hidden="1" customHeight="1" x14ac:dyDescent="0.2">
      <c r="A122" s="11"/>
      <c r="B122" s="149">
        <f>COUNTA(Spieltag!K109:AA109)</f>
        <v>0</v>
      </c>
      <c r="C122" s="165">
        <f>Spieltag!A109</f>
        <v>28</v>
      </c>
      <c r="D122" s="21" t="str">
        <f>Spieltag!B109</f>
        <v>Christopher Trimmel (A)</v>
      </c>
      <c r="E122" s="150" t="str">
        <f>Spieltag!C109</f>
        <v>Abwehr</v>
      </c>
      <c r="F122" s="151" t="s">
        <v>178</v>
      </c>
      <c r="G122" s="152"/>
      <c r="H122" s="153">
        <f t="shared" si="371"/>
        <v>0</v>
      </c>
      <c r="I122" s="152"/>
      <c r="J122" s="153">
        <f t="shared" si="372"/>
        <v>0</v>
      </c>
      <c r="K122" s="152"/>
      <c r="L122" s="153">
        <f t="shared" si="373"/>
        <v>0</v>
      </c>
      <c r="M122" s="152"/>
      <c r="N122" s="153">
        <f t="shared" si="374"/>
        <v>0</v>
      </c>
      <c r="O122" s="154">
        <f t="shared" si="343"/>
        <v>20</v>
      </c>
      <c r="P122" s="154">
        <f t="shared" si="344"/>
        <v>10</v>
      </c>
      <c r="Q122" s="154">
        <f t="shared" si="366"/>
        <v>15</v>
      </c>
      <c r="R122" s="152"/>
      <c r="S122" s="153">
        <f t="shared" si="375"/>
        <v>0</v>
      </c>
      <c r="T122" s="152"/>
      <c r="U122" s="153">
        <f t="shared" si="376"/>
        <v>0</v>
      </c>
      <c r="V122" s="154">
        <f t="shared" si="377"/>
        <v>0</v>
      </c>
      <c r="W122" s="155">
        <f t="shared" si="378"/>
        <v>0</v>
      </c>
    </row>
    <row r="123" spans="1:23" ht="10.5" hidden="1" customHeight="1" x14ac:dyDescent="0.2">
      <c r="A123" s="11"/>
      <c r="B123" s="149">
        <f>COUNTA(Spieltag!K110:AA110)</f>
        <v>0</v>
      </c>
      <c r="C123" s="165">
        <f>Spieltag!A110</f>
        <v>31</v>
      </c>
      <c r="D123" s="21" t="str">
        <f>Spieltag!B110</f>
        <v>Robin Knoche</v>
      </c>
      <c r="E123" s="150" t="str">
        <f>Spieltag!C110</f>
        <v>Abwehr</v>
      </c>
      <c r="F123" s="151" t="s">
        <v>178</v>
      </c>
      <c r="G123" s="152"/>
      <c r="H123" s="153">
        <f t="shared" ref="H123" si="395">IF(G123="x",10,0)</f>
        <v>0</v>
      </c>
      <c r="I123" s="152"/>
      <c r="J123" s="153">
        <f t="shared" ref="J123" si="396">IF((I123="x"),-10,0)</f>
        <v>0</v>
      </c>
      <c r="K123" s="152"/>
      <c r="L123" s="153">
        <f t="shared" ref="L123" si="397">IF((K123="x"),-20,0)</f>
        <v>0</v>
      </c>
      <c r="M123" s="152"/>
      <c r="N123" s="153">
        <f t="shared" ref="N123" si="398">IF((M123="x"),-30,0)</f>
        <v>0</v>
      </c>
      <c r="O123" s="154">
        <f t="shared" si="343"/>
        <v>20</v>
      </c>
      <c r="P123" s="154">
        <f t="shared" si="344"/>
        <v>10</v>
      </c>
      <c r="Q123" s="154">
        <f t="shared" si="366"/>
        <v>15</v>
      </c>
      <c r="R123" s="152"/>
      <c r="S123" s="153">
        <f t="shared" ref="S123" si="399">R123*15</f>
        <v>0</v>
      </c>
      <c r="T123" s="152"/>
      <c r="U123" s="153">
        <f t="shared" ref="U123" si="400">T123*-15</f>
        <v>0</v>
      </c>
      <c r="V123" s="154">
        <f t="shared" ref="V123" si="401">IF(AND(R123=2),10,IF(R123=3,30,IF(R123=4,50,IF(R123=5,70,0))))</f>
        <v>0</v>
      </c>
      <c r="W123" s="155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49">
        <f>COUNTA(Spieltag!K111:AA111)</f>
        <v>0</v>
      </c>
      <c r="C124" s="165">
        <f>Spieltag!A111</f>
        <v>41</v>
      </c>
      <c r="D124" s="21" t="str">
        <f>Spieltag!B111</f>
        <v>Oluwaseun Ogdemudia</v>
      </c>
      <c r="E124" s="150" t="str">
        <f>Spieltag!C111</f>
        <v>Abwehr</v>
      </c>
      <c r="F124" s="151" t="s">
        <v>178</v>
      </c>
      <c r="G124" s="152"/>
      <c r="H124" s="153">
        <f t="shared" si="371"/>
        <v>0</v>
      </c>
      <c r="I124" s="152"/>
      <c r="J124" s="153">
        <f t="shared" si="372"/>
        <v>0</v>
      </c>
      <c r="K124" s="152"/>
      <c r="L124" s="153">
        <f t="shared" si="373"/>
        <v>0</v>
      </c>
      <c r="M124" s="152"/>
      <c r="N124" s="153">
        <f t="shared" si="374"/>
        <v>0</v>
      </c>
      <c r="O124" s="154">
        <f t="shared" si="343"/>
        <v>20</v>
      </c>
      <c r="P124" s="154">
        <f t="shared" si="344"/>
        <v>10</v>
      </c>
      <c r="Q124" s="154">
        <f t="shared" si="366"/>
        <v>15</v>
      </c>
      <c r="R124" s="152"/>
      <c r="S124" s="153">
        <f t="shared" si="375"/>
        <v>0</v>
      </c>
      <c r="T124" s="152"/>
      <c r="U124" s="153">
        <f t="shared" si="376"/>
        <v>0</v>
      </c>
      <c r="V124" s="154">
        <f t="shared" si="377"/>
        <v>0</v>
      </c>
      <c r="W124" s="155">
        <f t="shared" si="378"/>
        <v>0</v>
      </c>
    </row>
    <row r="125" spans="1:23" ht="10.5" hidden="1" customHeight="1" x14ac:dyDescent="0.2">
      <c r="A125" s="11"/>
      <c r="B125" s="149">
        <f>COUNTA(Spieltag!K112:AA112)</f>
        <v>0</v>
      </c>
      <c r="C125" s="165">
        <f>Spieltag!A112</f>
        <v>7</v>
      </c>
      <c r="D125" s="21" t="str">
        <f>Spieltag!B112</f>
        <v>Brendon Aaronson (A)</v>
      </c>
      <c r="E125" s="150" t="str">
        <f>Spieltag!C112</f>
        <v>Mittelfeld</v>
      </c>
      <c r="F125" s="151" t="s">
        <v>178</v>
      </c>
      <c r="G125" s="152"/>
      <c r="H125" s="153">
        <f t="shared" ref="H125" si="403">IF(G125="x",10,0)</f>
        <v>0</v>
      </c>
      <c r="I125" s="152"/>
      <c r="J125" s="153">
        <f t="shared" ref="J125" si="404">IF((I125="x"),-10,0)</f>
        <v>0</v>
      </c>
      <c r="K125" s="152"/>
      <c r="L125" s="153">
        <f t="shared" ref="L125" si="405">IF((K125="x"),-20,0)</f>
        <v>0</v>
      </c>
      <c r="M125" s="152"/>
      <c r="N125" s="153">
        <f t="shared" ref="N125" si="406">IF((M125="x"),-30,0)</f>
        <v>0</v>
      </c>
      <c r="O125" s="154">
        <f t="shared" si="343"/>
        <v>20</v>
      </c>
      <c r="P125" s="154">
        <f t="shared" si="344"/>
        <v>10</v>
      </c>
      <c r="Q125" s="154">
        <f t="shared" ref="Q125:Q131" si="407">IF(($W$4&lt;&gt;0),$W$4*-10,10)</f>
        <v>10</v>
      </c>
      <c r="R125" s="152"/>
      <c r="S125" s="153">
        <f t="shared" ref="S125" si="408">R125*10</f>
        <v>0</v>
      </c>
      <c r="T125" s="152"/>
      <c r="U125" s="153">
        <f t="shared" ref="U125" si="409">T125*-15</f>
        <v>0</v>
      </c>
      <c r="V125" s="154">
        <f t="shared" ref="V125" si="410">IF(AND(R125=2),10,IF(R125=3,30,IF(R125=4,50,IF(R125=5,70,0))))</f>
        <v>0</v>
      </c>
      <c r="W125" s="155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49">
        <f>COUNTA(Spieltag!K113:AA113)</f>
        <v>0</v>
      </c>
      <c r="C126" s="165">
        <f>Spieltag!A113</f>
        <v>8</v>
      </c>
      <c r="D126" s="21" t="str">
        <f>Spieltag!B113</f>
        <v>Rani Khedira</v>
      </c>
      <c r="E126" s="150" t="str">
        <f>Spieltag!C113</f>
        <v>Mittelfeld</v>
      </c>
      <c r="F126" s="151" t="s">
        <v>178</v>
      </c>
      <c r="G126" s="152"/>
      <c r="H126" s="153">
        <f t="shared" ref="H126:H131" si="412">IF(G126="x",10,0)</f>
        <v>0</v>
      </c>
      <c r="I126" s="152"/>
      <c r="J126" s="153">
        <f t="shared" ref="J126:J131" si="413">IF((I126="x"),-10,0)</f>
        <v>0</v>
      </c>
      <c r="K126" s="152"/>
      <c r="L126" s="153">
        <f t="shared" ref="L126:L131" si="414">IF((K126="x"),-20,0)</f>
        <v>0</v>
      </c>
      <c r="M126" s="152"/>
      <c r="N126" s="153">
        <f t="shared" ref="N126:N131" si="415">IF((M126="x"),-30,0)</f>
        <v>0</v>
      </c>
      <c r="O126" s="154">
        <f t="shared" si="343"/>
        <v>20</v>
      </c>
      <c r="P126" s="154">
        <f t="shared" si="344"/>
        <v>10</v>
      </c>
      <c r="Q126" s="154">
        <f t="shared" si="407"/>
        <v>10</v>
      </c>
      <c r="R126" s="152"/>
      <c r="S126" s="153">
        <f t="shared" ref="S126:S131" si="416">R126*10</f>
        <v>0</v>
      </c>
      <c r="T126" s="152"/>
      <c r="U126" s="153">
        <f t="shared" ref="U126:U131" si="417">T126*-15</f>
        <v>0</v>
      </c>
      <c r="V126" s="154">
        <f t="shared" ref="V126:V131" si="418">IF(AND(R126=2),10,IF(R126=3,30,IF(R126=4,50,IF(R126=5,70,0))))</f>
        <v>0</v>
      </c>
      <c r="W126" s="155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49">
        <f>COUNTA(Spieltag!K114:AA114)</f>
        <v>0</v>
      </c>
      <c r="C127" s="165">
        <f>Spieltag!A114</f>
        <v>13</v>
      </c>
      <c r="D127" s="21" t="str">
        <f>Spieltag!B114</f>
        <v>András Schäfer (A)</v>
      </c>
      <c r="E127" s="150" t="str">
        <f>Spieltag!C114</f>
        <v>Mittelfeld</v>
      </c>
      <c r="F127" s="151" t="s">
        <v>178</v>
      </c>
      <c r="G127" s="152"/>
      <c r="H127" s="153">
        <f t="shared" si="412"/>
        <v>0</v>
      </c>
      <c r="I127" s="152"/>
      <c r="J127" s="153">
        <f t="shared" si="413"/>
        <v>0</v>
      </c>
      <c r="K127" s="152"/>
      <c r="L127" s="153">
        <f t="shared" si="414"/>
        <v>0</v>
      </c>
      <c r="M127" s="152"/>
      <c r="N127" s="153">
        <f t="shared" si="415"/>
        <v>0</v>
      </c>
      <c r="O127" s="154">
        <f t="shared" si="343"/>
        <v>20</v>
      </c>
      <c r="P127" s="154">
        <f t="shared" si="344"/>
        <v>10</v>
      </c>
      <c r="Q127" s="154">
        <f t="shared" si="407"/>
        <v>10</v>
      </c>
      <c r="R127" s="152"/>
      <c r="S127" s="153">
        <f t="shared" si="416"/>
        <v>0</v>
      </c>
      <c r="T127" s="152"/>
      <c r="U127" s="153">
        <f t="shared" si="417"/>
        <v>0</v>
      </c>
      <c r="V127" s="154">
        <f t="shared" si="418"/>
        <v>0</v>
      </c>
      <c r="W127" s="155">
        <f t="shared" si="419"/>
        <v>0</v>
      </c>
    </row>
    <row r="128" spans="1:23" ht="10.5" hidden="1" customHeight="1" x14ac:dyDescent="0.2">
      <c r="A128" s="11"/>
      <c r="B128" s="149">
        <f>COUNTA(Spieltag!K115:AA115)</f>
        <v>0</v>
      </c>
      <c r="C128" s="165">
        <f>Spieltag!A115</f>
        <v>19</v>
      </c>
      <c r="D128" s="21" t="str">
        <f>Spieltag!B115</f>
        <v>Janik Haberer</v>
      </c>
      <c r="E128" s="150" t="str">
        <f>Spieltag!C115</f>
        <v>Mittelfeld</v>
      </c>
      <c r="F128" s="151" t="s">
        <v>178</v>
      </c>
      <c r="G128" s="152"/>
      <c r="H128" s="153">
        <f t="shared" si="412"/>
        <v>0</v>
      </c>
      <c r="I128" s="152"/>
      <c r="J128" s="153">
        <f t="shared" si="413"/>
        <v>0</v>
      </c>
      <c r="K128" s="152"/>
      <c r="L128" s="153">
        <f t="shared" si="414"/>
        <v>0</v>
      </c>
      <c r="M128" s="152"/>
      <c r="N128" s="153">
        <f t="shared" si="415"/>
        <v>0</v>
      </c>
      <c r="O128" s="154">
        <f t="shared" si="343"/>
        <v>20</v>
      </c>
      <c r="P128" s="154">
        <f t="shared" si="344"/>
        <v>10</v>
      </c>
      <c r="Q128" s="154">
        <f t="shared" si="407"/>
        <v>10</v>
      </c>
      <c r="R128" s="152"/>
      <c r="S128" s="153">
        <f t="shared" si="416"/>
        <v>0</v>
      </c>
      <c r="T128" s="152"/>
      <c r="U128" s="153">
        <f t="shared" si="417"/>
        <v>0</v>
      </c>
      <c r="V128" s="154">
        <f t="shared" si="418"/>
        <v>0</v>
      </c>
      <c r="W128" s="155">
        <f t="shared" si="419"/>
        <v>0</v>
      </c>
    </row>
    <row r="129" spans="1:23" ht="10.5" hidden="1" customHeight="1" x14ac:dyDescent="0.2">
      <c r="A129" s="11"/>
      <c r="B129" s="149">
        <f>COUNTA(Spieltag!K116:AA116)</f>
        <v>0</v>
      </c>
      <c r="C129" s="165">
        <f>Spieltag!A116</f>
        <v>20</v>
      </c>
      <c r="D129" s="21" t="str">
        <f>Spieltag!B116</f>
        <v>Aissa Laidouni (A)</v>
      </c>
      <c r="E129" s="150" t="str">
        <f>Spieltag!C116</f>
        <v>Mittelfeld</v>
      </c>
      <c r="F129" s="151" t="s">
        <v>178</v>
      </c>
      <c r="G129" s="152"/>
      <c r="H129" s="153">
        <f t="shared" si="412"/>
        <v>0</v>
      </c>
      <c r="I129" s="152"/>
      <c r="J129" s="153">
        <f t="shared" si="413"/>
        <v>0</v>
      </c>
      <c r="K129" s="152"/>
      <c r="L129" s="153">
        <f t="shared" si="414"/>
        <v>0</v>
      </c>
      <c r="M129" s="152"/>
      <c r="N129" s="153">
        <f t="shared" si="415"/>
        <v>0</v>
      </c>
      <c r="O129" s="154">
        <f t="shared" si="343"/>
        <v>20</v>
      </c>
      <c r="P129" s="154">
        <f t="shared" si="344"/>
        <v>10</v>
      </c>
      <c r="Q129" s="154">
        <f t="shared" si="407"/>
        <v>10</v>
      </c>
      <c r="R129" s="152"/>
      <c r="S129" s="153">
        <f t="shared" si="416"/>
        <v>0</v>
      </c>
      <c r="T129" s="152"/>
      <c r="U129" s="153">
        <f t="shared" si="417"/>
        <v>0</v>
      </c>
      <c r="V129" s="154">
        <f t="shared" si="418"/>
        <v>0</v>
      </c>
      <c r="W129" s="155">
        <f t="shared" si="419"/>
        <v>0</v>
      </c>
    </row>
    <row r="130" spans="1:23" ht="10.5" hidden="1" customHeight="1" x14ac:dyDescent="0.2">
      <c r="A130" s="11"/>
      <c r="B130" s="149">
        <f>COUNTA(Spieltag!K117:AA117)</f>
        <v>0</v>
      </c>
      <c r="C130" s="165">
        <f>Spieltag!A117</f>
        <v>29</v>
      </c>
      <c r="D130" s="21" t="str">
        <f>Spieltag!B117</f>
        <v>Lucas Tousart (A)</v>
      </c>
      <c r="E130" s="150" t="str">
        <f>Spieltag!C117</f>
        <v>Mittelfeld</v>
      </c>
      <c r="F130" s="151" t="s">
        <v>178</v>
      </c>
      <c r="G130" s="152"/>
      <c r="H130" s="153">
        <f t="shared" si="412"/>
        <v>0</v>
      </c>
      <c r="I130" s="152"/>
      <c r="J130" s="153">
        <f t="shared" si="413"/>
        <v>0</v>
      </c>
      <c r="K130" s="152"/>
      <c r="L130" s="153">
        <f t="shared" si="414"/>
        <v>0</v>
      </c>
      <c r="M130" s="152"/>
      <c r="N130" s="153">
        <f t="shared" si="415"/>
        <v>0</v>
      </c>
      <c r="O130" s="154">
        <f t="shared" si="343"/>
        <v>20</v>
      </c>
      <c r="P130" s="154">
        <f t="shared" si="344"/>
        <v>10</v>
      </c>
      <c r="Q130" s="154">
        <f t="shared" si="407"/>
        <v>10</v>
      </c>
      <c r="R130" s="152"/>
      <c r="S130" s="153">
        <f t="shared" si="416"/>
        <v>0</v>
      </c>
      <c r="T130" s="152"/>
      <c r="U130" s="153">
        <f t="shared" si="417"/>
        <v>0</v>
      </c>
      <c r="V130" s="154">
        <f t="shared" si="418"/>
        <v>0</v>
      </c>
      <c r="W130" s="155">
        <f t="shared" si="419"/>
        <v>0</v>
      </c>
    </row>
    <row r="131" spans="1:23" ht="10.5" hidden="1" customHeight="1" x14ac:dyDescent="0.2">
      <c r="A131" s="11"/>
      <c r="B131" s="149">
        <f>COUNTA(Spieltag!K118:AA118)</f>
        <v>0</v>
      </c>
      <c r="C131" s="165">
        <f>Spieltag!A118</f>
        <v>33</v>
      </c>
      <c r="D131" s="21" t="str">
        <f>Spieltag!B118</f>
        <v>Alex Král (A)</v>
      </c>
      <c r="E131" s="150" t="str">
        <f>Spieltag!C118</f>
        <v>Mittelfeld</v>
      </c>
      <c r="F131" s="151" t="s">
        <v>178</v>
      </c>
      <c r="G131" s="152"/>
      <c r="H131" s="153">
        <f t="shared" si="412"/>
        <v>0</v>
      </c>
      <c r="I131" s="152"/>
      <c r="J131" s="153">
        <f t="shared" si="413"/>
        <v>0</v>
      </c>
      <c r="K131" s="152"/>
      <c r="L131" s="153">
        <f t="shared" si="414"/>
        <v>0</v>
      </c>
      <c r="M131" s="152"/>
      <c r="N131" s="153">
        <f t="shared" si="415"/>
        <v>0</v>
      </c>
      <c r="O131" s="154">
        <f t="shared" si="343"/>
        <v>20</v>
      </c>
      <c r="P131" s="154">
        <f t="shared" si="344"/>
        <v>10</v>
      </c>
      <c r="Q131" s="154">
        <f t="shared" si="407"/>
        <v>10</v>
      </c>
      <c r="R131" s="152"/>
      <c r="S131" s="153">
        <f t="shared" si="416"/>
        <v>0</v>
      </c>
      <c r="T131" s="152"/>
      <c r="U131" s="153">
        <f t="shared" si="417"/>
        <v>0</v>
      </c>
      <c r="V131" s="154">
        <f t="shared" si="418"/>
        <v>0</v>
      </c>
      <c r="W131" s="155">
        <f t="shared" si="419"/>
        <v>0</v>
      </c>
    </row>
    <row r="132" spans="1:23" ht="10.5" hidden="1" customHeight="1" x14ac:dyDescent="0.2">
      <c r="A132" s="11"/>
      <c r="B132" s="149">
        <f>COUNTA(Spieltag!K119:AA119)</f>
        <v>0</v>
      </c>
      <c r="C132" s="165">
        <f>Spieltag!A119</f>
        <v>9</v>
      </c>
      <c r="D132" s="21" t="str">
        <f>Spieltag!B119</f>
        <v>Mikkel Kaufmann (A)</v>
      </c>
      <c r="E132" s="150" t="str">
        <f>Spieltag!C119</f>
        <v>Sturm</v>
      </c>
      <c r="F132" s="151" t="s">
        <v>178</v>
      </c>
      <c r="G132" s="152"/>
      <c r="H132" s="153">
        <f t="shared" ref="H132:H133" si="420">IF(G132="x",10,0)</f>
        <v>0</v>
      </c>
      <c r="I132" s="152"/>
      <c r="J132" s="153">
        <f t="shared" ref="J132:J133" si="421">IF((I132="x"),-10,0)</f>
        <v>0</v>
      </c>
      <c r="K132" s="152"/>
      <c r="L132" s="153">
        <f t="shared" ref="L132:L133" si="422">IF((K132="x"),-20,0)</f>
        <v>0</v>
      </c>
      <c r="M132" s="152"/>
      <c r="N132" s="153">
        <f t="shared" ref="N132:N133" si="423">IF((M132="x"),-30,0)</f>
        <v>0</v>
      </c>
      <c r="O132" s="154">
        <f t="shared" si="343"/>
        <v>20</v>
      </c>
      <c r="P132" s="154">
        <f t="shared" si="344"/>
        <v>10</v>
      </c>
      <c r="Q132" s="154">
        <f t="shared" ref="Q132:Q136" si="424">IF(($W$4&lt;&gt;0),$W$4*-10,5)</f>
        <v>5</v>
      </c>
      <c r="R132" s="152"/>
      <c r="S132" s="153">
        <f t="shared" ref="S132:S133" si="425">R132*10</f>
        <v>0</v>
      </c>
      <c r="T132" s="152"/>
      <c r="U132" s="153">
        <f t="shared" ref="U132:U133" si="426">T132*-15</f>
        <v>0</v>
      </c>
      <c r="V132" s="154">
        <f t="shared" ref="V132:V133" si="427">IF(AND(R132=2),10,IF(R132=3,30,IF(R132=4,50,IF(R132=5,70,0))))</f>
        <v>0</v>
      </c>
      <c r="W132" s="155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5">
        <f>Spieltag!A120</f>
        <v>10</v>
      </c>
      <c r="D133" s="21" t="str">
        <f>Spieltag!B120</f>
        <v>Kevin Volland</v>
      </c>
      <c r="E133" s="150" t="str">
        <f>Spieltag!C120</f>
        <v>Sturm</v>
      </c>
      <c r="F133" s="151" t="s">
        <v>178</v>
      </c>
      <c r="G133" s="152"/>
      <c r="H133" s="153">
        <f t="shared" si="420"/>
        <v>0</v>
      </c>
      <c r="I133" s="152"/>
      <c r="J133" s="153">
        <f t="shared" si="421"/>
        <v>0</v>
      </c>
      <c r="K133" s="152"/>
      <c r="L133" s="153">
        <f t="shared" si="422"/>
        <v>0</v>
      </c>
      <c r="M133" s="152"/>
      <c r="N133" s="153">
        <f t="shared" si="423"/>
        <v>0</v>
      </c>
      <c r="O133" s="154">
        <f t="shared" si="343"/>
        <v>20</v>
      </c>
      <c r="P133" s="154">
        <f t="shared" si="344"/>
        <v>10</v>
      </c>
      <c r="Q133" s="154">
        <f t="shared" si="424"/>
        <v>5</v>
      </c>
      <c r="R133" s="152"/>
      <c r="S133" s="153">
        <f t="shared" si="425"/>
        <v>0</v>
      </c>
      <c r="T133" s="152"/>
      <c r="U133" s="153">
        <f t="shared" si="426"/>
        <v>0</v>
      </c>
      <c r="V133" s="154">
        <f t="shared" si="427"/>
        <v>0</v>
      </c>
      <c r="W133" s="155">
        <f t="shared" si="428"/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5">
        <f>Spieltag!A121</f>
        <v>11</v>
      </c>
      <c r="D134" s="21" t="str">
        <f>Spieltag!B121</f>
        <v>Chris Bedia (A)</v>
      </c>
      <c r="E134" s="150" t="str">
        <f>Spieltag!C121</f>
        <v>Sturm</v>
      </c>
      <c r="F134" s="151" t="s">
        <v>178</v>
      </c>
      <c r="G134" s="152"/>
      <c r="H134" s="153">
        <f t="shared" ref="H134:H136" si="429">IF(G134="x",10,0)</f>
        <v>0</v>
      </c>
      <c r="I134" s="152"/>
      <c r="J134" s="153">
        <f t="shared" ref="J134:J136" si="430">IF((I134="x"),-10,0)</f>
        <v>0</v>
      </c>
      <c r="K134" s="152"/>
      <c r="L134" s="153">
        <f t="shared" ref="L134:L136" si="431">IF((K134="x"),-20,0)</f>
        <v>0</v>
      </c>
      <c r="M134" s="152"/>
      <c r="N134" s="153">
        <f t="shared" ref="N134:N136" si="432">IF((M134="x"),-30,0)</f>
        <v>0</v>
      </c>
      <c r="O134" s="154">
        <f t="shared" si="343"/>
        <v>20</v>
      </c>
      <c r="P134" s="154">
        <f t="shared" si="344"/>
        <v>10</v>
      </c>
      <c r="Q134" s="154">
        <f t="shared" si="424"/>
        <v>5</v>
      </c>
      <c r="R134" s="152"/>
      <c r="S134" s="153">
        <f t="shared" ref="S134:S136" si="433">R134*10</f>
        <v>0</v>
      </c>
      <c r="T134" s="152"/>
      <c r="U134" s="153">
        <f t="shared" ref="U134:U136" si="434">T134*-15</f>
        <v>0</v>
      </c>
      <c r="V134" s="154">
        <f t="shared" ref="V134:V136" si="435">IF(AND(R134=2),10,IF(R134=3,30,IF(R134=4,50,IF(R134=5,70,0))))</f>
        <v>0</v>
      </c>
      <c r="W134" s="155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5">
        <f>Spieltag!A122</f>
        <v>14</v>
      </c>
      <c r="D135" s="21" t="str">
        <f>Spieltag!B122</f>
        <v>Yorbe Vertessen (A)</v>
      </c>
      <c r="E135" s="150" t="str">
        <f>Spieltag!C122</f>
        <v>Sturm</v>
      </c>
      <c r="F135" s="151" t="s">
        <v>178</v>
      </c>
      <c r="G135" s="152"/>
      <c r="H135" s="153">
        <f t="shared" si="429"/>
        <v>0</v>
      </c>
      <c r="I135" s="152"/>
      <c r="J135" s="153">
        <f t="shared" si="430"/>
        <v>0</v>
      </c>
      <c r="K135" s="152"/>
      <c r="L135" s="153">
        <f t="shared" si="431"/>
        <v>0</v>
      </c>
      <c r="M135" s="152"/>
      <c r="N135" s="153">
        <f t="shared" si="432"/>
        <v>0</v>
      </c>
      <c r="O135" s="154">
        <f t="shared" si="343"/>
        <v>20</v>
      </c>
      <c r="P135" s="154">
        <f t="shared" si="344"/>
        <v>10</v>
      </c>
      <c r="Q135" s="154">
        <f t="shared" si="424"/>
        <v>5</v>
      </c>
      <c r="R135" s="152"/>
      <c r="S135" s="153">
        <f t="shared" si="433"/>
        <v>0</v>
      </c>
      <c r="T135" s="152"/>
      <c r="U135" s="153">
        <f t="shared" si="434"/>
        <v>0</v>
      </c>
      <c r="V135" s="154">
        <f t="shared" si="435"/>
        <v>0</v>
      </c>
      <c r="W135" s="155">
        <f t="shared" si="436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5">
        <f>Spieltag!A123</f>
        <v>16</v>
      </c>
      <c r="D136" s="21" t="str">
        <f>Spieltag!B123</f>
        <v>Benedict Hollerbach</v>
      </c>
      <c r="E136" s="150" t="str">
        <f>Spieltag!C123</f>
        <v>Sturm</v>
      </c>
      <c r="F136" s="151" t="s">
        <v>178</v>
      </c>
      <c r="G136" s="152"/>
      <c r="H136" s="153">
        <f t="shared" si="429"/>
        <v>0</v>
      </c>
      <c r="I136" s="152"/>
      <c r="J136" s="153">
        <f t="shared" si="430"/>
        <v>0</v>
      </c>
      <c r="K136" s="152"/>
      <c r="L136" s="153">
        <f t="shared" si="431"/>
        <v>0</v>
      </c>
      <c r="M136" s="152"/>
      <c r="N136" s="153">
        <f t="shared" si="432"/>
        <v>0</v>
      </c>
      <c r="O136" s="154">
        <f t="shared" si="343"/>
        <v>20</v>
      </c>
      <c r="P136" s="154">
        <f t="shared" si="344"/>
        <v>10</v>
      </c>
      <c r="Q136" s="154">
        <f t="shared" si="424"/>
        <v>5</v>
      </c>
      <c r="R136" s="152"/>
      <c r="S136" s="153">
        <f t="shared" si="433"/>
        <v>0</v>
      </c>
      <c r="T136" s="152"/>
      <c r="U136" s="153">
        <f t="shared" si="434"/>
        <v>0</v>
      </c>
      <c r="V136" s="154">
        <f t="shared" si="435"/>
        <v>0</v>
      </c>
      <c r="W136" s="155">
        <f t="shared" si="436"/>
        <v>0</v>
      </c>
    </row>
    <row r="137" spans="1:23" s="143" customFormat="1" ht="17.25" hidden="1" thickBot="1" x14ac:dyDescent="0.25">
      <c r="A137" s="141"/>
      <c r="B137" s="142">
        <f>SUM(B138:B170)</f>
        <v>0</v>
      </c>
      <c r="C137" s="157"/>
      <c r="D137" s="220" t="s">
        <v>129</v>
      </c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1"/>
    </row>
    <row r="138" spans="1:23" ht="10.5" hidden="1" customHeight="1" x14ac:dyDescent="0.2">
      <c r="A138" s="11"/>
      <c r="B138" s="149">
        <f>COUNTA(Spieltag!K125:AA125)</f>
        <v>0</v>
      </c>
      <c r="C138" s="165">
        <f>Spieltag!A125</f>
        <v>1</v>
      </c>
      <c r="D138" s="21" t="str">
        <f>Spieltag!B125</f>
        <v>Noah Atubolu</v>
      </c>
      <c r="E138" s="150" t="str">
        <f>Spieltag!C125</f>
        <v>Torwart</v>
      </c>
      <c r="F138" s="151" t="s">
        <v>87</v>
      </c>
      <c r="G138" s="152"/>
      <c r="H138" s="153">
        <f t="shared" ref="H138" si="437">IF(G138="x",10,0)</f>
        <v>0</v>
      </c>
      <c r="I138" s="152"/>
      <c r="J138" s="153">
        <f t="shared" ref="J138" si="438">IF((I138="x"),-10,0)</f>
        <v>0</v>
      </c>
      <c r="K138" s="152"/>
      <c r="L138" s="153">
        <f t="shared" ref="L138" si="439">IF((K138="x"),-20,0)</f>
        <v>0</v>
      </c>
      <c r="M138" s="152"/>
      <c r="N138" s="153">
        <f t="shared" ref="N138" si="440">IF((M138="x"),-30,0)</f>
        <v>0</v>
      </c>
      <c r="O138" s="154">
        <f>IF(AND($V$8&gt;$W$8),20,IF($V$8=$W$8,10,0))</f>
        <v>10</v>
      </c>
      <c r="P138" s="154">
        <f>IF(($V$8&lt;&gt;0),$V$8*10,-5)</f>
        <v>30</v>
      </c>
      <c r="Q138" s="154">
        <f>IF(($W$8&lt;&gt;0),$W$8*-10,20)</f>
        <v>-30</v>
      </c>
      <c r="R138" s="152"/>
      <c r="S138" s="153">
        <f>R138*20</f>
        <v>0</v>
      </c>
      <c r="T138" s="152"/>
      <c r="U138" s="153">
        <f t="shared" ref="U138" si="441">T138*-15</f>
        <v>0</v>
      </c>
      <c r="V138" s="154">
        <f t="shared" ref="V138" si="442">IF(AND(R138=2),10,IF(R138=3,30,IF(R138=4,50,IF(R138=5,70,0))))</f>
        <v>0</v>
      </c>
      <c r="W138" s="155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49">
        <f>COUNTA(Spieltag!K126:AA126)</f>
        <v>0</v>
      </c>
      <c r="C139" s="165">
        <f>Spieltag!A126</f>
        <v>21</v>
      </c>
      <c r="D139" s="21" t="str">
        <f>Spieltag!B126</f>
        <v>Florian Müller</v>
      </c>
      <c r="E139" s="150" t="str">
        <f>Spieltag!C126</f>
        <v>Torwart</v>
      </c>
      <c r="F139" s="151" t="s">
        <v>87</v>
      </c>
      <c r="G139" s="152"/>
      <c r="H139" s="153">
        <f t="shared" ref="H139:H142" si="444">IF(G139="x",10,0)</f>
        <v>0</v>
      </c>
      <c r="I139" s="152"/>
      <c r="J139" s="153">
        <f t="shared" ref="J139:J142" si="445">IF((I139="x"),-10,0)</f>
        <v>0</v>
      </c>
      <c r="K139" s="152"/>
      <c r="L139" s="153">
        <f t="shared" ref="L139:L142" si="446">IF((K139="x"),-20,0)</f>
        <v>0</v>
      </c>
      <c r="M139" s="152"/>
      <c r="N139" s="153">
        <f t="shared" ref="N139:N142" si="447">IF((M139="x"),-30,0)</f>
        <v>0</v>
      </c>
      <c r="O139" s="154">
        <f t="shared" ref="O139:O142" si="448">IF(AND($V$8&gt;$W$8),20,IF($V$8=$W$8,10,0))</f>
        <v>10</v>
      </c>
      <c r="P139" s="154">
        <f t="shared" ref="P139:P142" si="449">IF(($V$8&lt;&gt;0),$V$8*10,-5)</f>
        <v>30</v>
      </c>
      <c r="Q139" s="154">
        <f t="shared" ref="Q139:Q142" si="450">IF(($W$8&lt;&gt;0),$W$8*-10,20)</f>
        <v>-30</v>
      </c>
      <c r="R139" s="152"/>
      <c r="S139" s="153">
        <f t="shared" ref="S139:S142" si="451">R139*20</f>
        <v>0</v>
      </c>
      <c r="T139" s="152"/>
      <c r="U139" s="153">
        <f t="shared" ref="U139:U142" si="452">T139*-15</f>
        <v>0</v>
      </c>
      <c r="V139" s="154">
        <f t="shared" ref="V139:V142" si="453">IF(AND(R139=2),10,IF(R139=3,30,IF(R139=4,50,IF(R139=5,70,0))))</f>
        <v>0</v>
      </c>
      <c r="W139" s="155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5">
        <f>Spieltag!A127</f>
        <v>31</v>
      </c>
      <c r="D140" s="21" t="str">
        <f>Spieltag!B127</f>
        <v>Benjamin Uphoff</v>
      </c>
      <c r="E140" s="150" t="str">
        <f>Spieltag!C127</f>
        <v>Torwart</v>
      </c>
      <c r="F140" s="151" t="s">
        <v>87</v>
      </c>
      <c r="G140" s="152"/>
      <c r="H140" s="153">
        <f t="shared" si="444"/>
        <v>0</v>
      </c>
      <c r="I140" s="152"/>
      <c r="J140" s="153">
        <f t="shared" si="445"/>
        <v>0</v>
      </c>
      <c r="K140" s="152"/>
      <c r="L140" s="153">
        <f t="shared" si="446"/>
        <v>0</v>
      </c>
      <c r="M140" s="152"/>
      <c r="N140" s="153">
        <f t="shared" si="447"/>
        <v>0</v>
      </c>
      <c r="O140" s="154">
        <f t="shared" si="448"/>
        <v>10</v>
      </c>
      <c r="P140" s="154">
        <f t="shared" si="449"/>
        <v>30</v>
      </c>
      <c r="Q140" s="154">
        <f t="shared" si="450"/>
        <v>-30</v>
      </c>
      <c r="R140" s="152"/>
      <c r="S140" s="153">
        <f t="shared" si="451"/>
        <v>0</v>
      </c>
      <c r="T140" s="152"/>
      <c r="U140" s="153">
        <f t="shared" si="452"/>
        <v>0</v>
      </c>
      <c r="V140" s="154">
        <f t="shared" si="453"/>
        <v>0</v>
      </c>
      <c r="W140" s="155">
        <f t="shared" si="454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5">
        <f>Spieltag!A128</f>
        <v>58</v>
      </c>
      <c r="D141" s="21" t="str">
        <f>Spieltag!B128</f>
        <v>Niklas Sauter</v>
      </c>
      <c r="E141" s="150" t="str">
        <f>Spieltag!C128</f>
        <v>Torwart</v>
      </c>
      <c r="F141" s="151" t="s">
        <v>87</v>
      </c>
      <c r="G141" s="152"/>
      <c r="H141" s="153">
        <f t="shared" ref="H141" si="455">IF(G141="x",10,0)</f>
        <v>0</v>
      </c>
      <c r="I141" s="152"/>
      <c r="J141" s="153">
        <f t="shared" ref="J141" si="456">IF((I141="x"),-10,0)</f>
        <v>0</v>
      </c>
      <c r="K141" s="152"/>
      <c r="L141" s="153">
        <f t="shared" ref="L141" si="457">IF((K141="x"),-20,0)</f>
        <v>0</v>
      </c>
      <c r="M141" s="152"/>
      <c r="N141" s="153">
        <f t="shared" ref="N141" si="458">IF((M141="x"),-30,0)</f>
        <v>0</v>
      </c>
      <c r="O141" s="154">
        <f t="shared" si="448"/>
        <v>10</v>
      </c>
      <c r="P141" s="154">
        <f t="shared" si="449"/>
        <v>30</v>
      </c>
      <c r="Q141" s="154">
        <f t="shared" si="450"/>
        <v>-30</v>
      </c>
      <c r="R141" s="152"/>
      <c r="S141" s="153">
        <f t="shared" ref="S141" si="459">R141*20</f>
        <v>0</v>
      </c>
      <c r="T141" s="152"/>
      <c r="U141" s="153">
        <f t="shared" ref="U141" si="460">T141*-15</f>
        <v>0</v>
      </c>
      <c r="V141" s="154">
        <f t="shared" ref="V141" si="461">IF(AND(R141=2),10,IF(R141=3,30,IF(R141=4,50,IF(R141=5,70,0))))</f>
        <v>0</v>
      </c>
      <c r="W141" s="155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5">
        <f>Spieltag!A129</f>
        <v>67</v>
      </c>
      <c r="D142" s="21" t="str">
        <f>Spieltag!B129</f>
        <v>Jaaso Jantunen (A)</v>
      </c>
      <c r="E142" s="150" t="str">
        <f>Spieltag!C129</f>
        <v>Torwart</v>
      </c>
      <c r="F142" s="151" t="s">
        <v>87</v>
      </c>
      <c r="G142" s="152"/>
      <c r="H142" s="153">
        <f t="shared" si="444"/>
        <v>0</v>
      </c>
      <c r="I142" s="152"/>
      <c r="J142" s="153">
        <f t="shared" si="445"/>
        <v>0</v>
      </c>
      <c r="K142" s="152"/>
      <c r="L142" s="153">
        <f t="shared" si="446"/>
        <v>0</v>
      </c>
      <c r="M142" s="152"/>
      <c r="N142" s="153">
        <f t="shared" si="447"/>
        <v>0</v>
      </c>
      <c r="O142" s="154">
        <f t="shared" si="448"/>
        <v>10</v>
      </c>
      <c r="P142" s="154">
        <f t="shared" si="449"/>
        <v>30</v>
      </c>
      <c r="Q142" s="154">
        <f t="shared" si="450"/>
        <v>-30</v>
      </c>
      <c r="R142" s="152"/>
      <c r="S142" s="153">
        <f t="shared" si="451"/>
        <v>0</v>
      </c>
      <c r="T142" s="152"/>
      <c r="U142" s="153">
        <f t="shared" si="452"/>
        <v>0</v>
      </c>
      <c r="V142" s="154">
        <f t="shared" si="453"/>
        <v>0</v>
      </c>
      <c r="W142" s="155">
        <f t="shared" si="454"/>
        <v>0</v>
      </c>
    </row>
    <row r="143" spans="1:23" ht="10.5" hidden="1" customHeight="1" x14ac:dyDescent="0.2">
      <c r="A143" s="11"/>
      <c r="B143" s="148">
        <f>COUNTA(Spieltag!K130:AA130)</f>
        <v>0</v>
      </c>
      <c r="C143" s="165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10</v>
      </c>
      <c r="P143" s="16">
        <f t="shared" ref="P143:P170" si="468">IF(($V$8&lt;&gt;0),$V$8*10,-5)</f>
        <v>30</v>
      </c>
      <c r="Q143" s="16">
        <f t="shared" ref="Q143:Q152" si="469">IF(($W$8&lt;&gt;0),$W$8*-10,15)</f>
        <v>-30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8">
        <f>COUNTA(Spieltag!K131:AA131)</f>
        <v>0</v>
      </c>
      <c r="C144" s="165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10</v>
      </c>
      <c r="P144" s="16">
        <f t="shared" si="468"/>
        <v>30</v>
      </c>
      <c r="Q144" s="16">
        <f t="shared" si="469"/>
        <v>-30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8">
        <f>COUNTA(Spieltag!K132:AA132)</f>
        <v>0</v>
      </c>
      <c r="C145" s="165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10</v>
      </c>
      <c r="P145" s="16">
        <f t="shared" si="468"/>
        <v>30</v>
      </c>
      <c r="Q145" s="16">
        <f t="shared" si="469"/>
        <v>-30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8">
        <f>COUNTA(Spieltag!K133:AA133)</f>
        <v>0</v>
      </c>
      <c r="C146" s="165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10</v>
      </c>
      <c r="P146" s="16">
        <f t="shared" si="468"/>
        <v>30</v>
      </c>
      <c r="Q146" s="16">
        <f t="shared" si="469"/>
        <v>-30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8">
        <f>COUNTA(Spieltag!K134:AA134)</f>
        <v>0</v>
      </c>
      <c r="C147" s="165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10</v>
      </c>
      <c r="P147" s="16">
        <f t="shared" si="468"/>
        <v>30</v>
      </c>
      <c r="Q147" s="16">
        <f t="shared" si="469"/>
        <v>-30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8">
        <f>COUNTA(Spieltag!K135:AA135)</f>
        <v>0</v>
      </c>
      <c r="C148" s="165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10</v>
      </c>
      <c r="P148" s="16">
        <f t="shared" si="468"/>
        <v>30</v>
      </c>
      <c r="Q148" s="16">
        <f t="shared" si="469"/>
        <v>-30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8">
        <f>COUNTA(Spieltag!K136:AA136)</f>
        <v>0</v>
      </c>
      <c r="C149" s="165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10</v>
      </c>
      <c r="P149" s="16">
        <f t="shared" si="468"/>
        <v>30</v>
      </c>
      <c r="Q149" s="16">
        <f t="shared" si="469"/>
        <v>-30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8">
        <f>COUNTA(Spieltag!K137:AA137)</f>
        <v>0</v>
      </c>
      <c r="C150" s="165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10</v>
      </c>
      <c r="P150" s="16">
        <f t="shared" si="468"/>
        <v>30</v>
      </c>
      <c r="Q150" s="16">
        <f t="shared" si="469"/>
        <v>-30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8">
        <f>COUNTA(Spieltag!K138:AA138)</f>
        <v>0</v>
      </c>
      <c r="C151" s="165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10</v>
      </c>
      <c r="P151" s="16">
        <f t="shared" si="468"/>
        <v>30</v>
      </c>
      <c r="Q151" s="16">
        <f t="shared" si="469"/>
        <v>-30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8">
        <f>COUNTA(Spieltag!K139:AA139)</f>
        <v>0</v>
      </c>
      <c r="C152" s="165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10</v>
      </c>
      <c r="P152" s="16">
        <f t="shared" si="468"/>
        <v>30</v>
      </c>
      <c r="Q152" s="16">
        <f t="shared" si="469"/>
        <v>-30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8">
        <f>COUNTA(Spieltag!K140:AA140)</f>
        <v>0</v>
      </c>
      <c r="C153" s="165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10</v>
      </c>
      <c r="P153" s="16">
        <f t="shared" si="468"/>
        <v>30</v>
      </c>
      <c r="Q153" s="16">
        <f t="shared" ref="Q153:Q165" si="494">IF(($W$8&lt;&gt;0),$W$8*-10,10)</f>
        <v>-30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8">
        <f>COUNTA(Spieltag!K141:AA141)</f>
        <v>0</v>
      </c>
      <c r="C154" s="165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10</v>
      </c>
      <c r="P154" s="16">
        <f t="shared" si="468"/>
        <v>30</v>
      </c>
      <c r="Q154" s="16">
        <f t="shared" si="494"/>
        <v>-30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8">
        <f>COUNTA(Spieltag!K142:AA142)</f>
        <v>0</v>
      </c>
      <c r="C155" s="165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10</v>
      </c>
      <c r="P155" s="16">
        <f t="shared" si="468"/>
        <v>30</v>
      </c>
      <c r="Q155" s="16">
        <f t="shared" si="494"/>
        <v>-30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8">
        <f>COUNTA(Spieltag!K143:AA143)</f>
        <v>0</v>
      </c>
      <c r="C156" s="165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10</v>
      </c>
      <c r="P156" s="16">
        <f t="shared" si="468"/>
        <v>30</v>
      </c>
      <c r="Q156" s="16">
        <f t="shared" si="494"/>
        <v>-30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8">
        <f>COUNTA(Spieltag!K144:AA144)</f>
        <v>0</v>
      </c>
      <c r="C157" s="165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10</v>
      </c>
      <c r="P157" s="16">
        <f t="shared" si="468"/>
        <v>30</v>
      </c>
      <c r="Q157" s="16">
        <f t="shared" si="494"/>
        <v>-30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8">
        <f>COUNTA(Spieltag!K145:AA145)</f>
        <v>0</v>
      </c>
      <c r="C158" s="165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10</v>
      </c>
      <c r="P158" s="16">
        <f t="shared" si="468"/>
        <v>30</v>
      </c>
      <c r="Q158" s="16">
        <f t="shared" si="494"/>
        <v>-30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8">
        <f>COUNTA(Spieltag!K146:AA146)</f>
        <v>0</v>
      </c>
      <c r="C159" s="165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10</v>
      </c>
      <c r="P159" s="16">
        <f t="shared" si="468"/>
        <v>30</v>
      </c>
      <c r="Q159" s="16">
        <f t="shared" si="494"/>
        <v>-30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8">
        <f>COUNTA(Spieltag!K147:AA147)</f>
        <v>0</v>
      </c>
      <c r="C160" s="165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10</v>
      </c>
      <c r="P160" s="16">
        <f t="shared" si="468"/>
        <v>30</v>
      </c>
      <c r="Q160" s="16">
        <f t="shared" si="494"/>
        <v>-30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8">
        <f>COUNTA(Spieltag!K148:AA148)</f>
        <v>0</v>
      </c>
      <c r="C161" s="165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10</v>
      </c>
      <c r="P161" s="16">
        <f t="shared" si="468"/>
        <v>30</v>
      </c>
      <c r="Q161" s="16">
        <f t="shared" si="494"/>
        <v>-30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8">
        <f>COUNTA(Spieltag!K149:AA149)</f>
        <v>0</v>
      </c>
      <c r="C162" s="165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10</v>
      </c>
      <c r="P162" s="16">
        <f t="shared" si="468"/>
        <v>30</v>
      </c>
      <c r="Q162" s="16">
        <f t="shared" si="494"/>
        <v>-30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8">
        <f>COUNTA(Spieltag!K150:AA150)</f>
        <v>0</v>
      </c>
      <c r="C163" s="165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10</v>
      </c>
      <c r="P163" s="16">
        <f t="shared" si="468"/>
        <v>30</v>
      </c>
      <c r="Q163" s="16">
        <f t="shared" si="494"/>
        <v>-30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8">
        <f>COUNTA(Spieltag!K151:AA151)</f>
        <v>0</v>
      </c>
      <c r="C164" s="165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10</v>
      </c>
      <c r="P164" s="16">
        <f t="shared" si="468"/>
        <v>30</v>
      </c>
      <c r="Q164" s="16">
        <f t="shared" si="494"/>
        <v>-30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8">
        <f>COUNTA(Spieltag!K152:AA152)</f>
        <v>0</v>
      </c>
      <c r="C165" s="165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10</v>
      </c>
      <c r="P165" s="16">
        <f t="shared" si="468"/>
        <v>30</v>
      </c>
      <c r="Q165" s="16">
        <f t="shared" si="494"/>
        <v>-30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8">
        <f>COUNTA(Spieltag!K153:AA153)</f>
        <v>0</v>
      </c>
      <c r="C166" s="165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10</v>
      </c>
      <c r="P166" s="16">
        <f t="shared" si="468"/>
        <v>30</v>
      </c>
      <c r="Q166" s="16">
        <f>IF(($W$8&lt;&gt;0),$W$8*-10,5)</f>
        <v>-30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8">
        <f>COUNTA(Spieltag!K154:AA154)</f>
        <v>0</v>
      </c>
      <c r="C167" s="165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10</v>
      </c>
      <c r="P167" s="16">
        <f t="shared" si="468"/>
        <v>30</v>
      </c>
      <c r="Q167" s="16">
        <f t="shared" ref="Q167:Q170" si="527">IF(($W$8&lt;&gt;0),$W$8*-10,5)</f>
        <v>-30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8">
        <f>COUNTA(Spieltag!K155:AA155)</f>
        <v>0</v>
      </c>
      <c r="C168" s="165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10</v>
      </c>
      <c r="P168" s="16">
        <f t="shared" si="468"/>
        <v>30</v>
      </c>
      <c r="Q168" s="16">
        <f t="shared" si="527"/>
        <v>-30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8">
        <f>COUNTA(Spieltag!K156:AA156)</f>
        <v>0</v>
      </c>
      <c r="C169" s="165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10</v>
      </c>
      <c r="P169" s="16">
        <f t="shared" si="468"/>
        <v>30</v>
      </c>
      <c r="Q169" s="16">
        <f t="shared" si="527"/>
        <v>-30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8">
        <f>COUNTA(Spieltag!K157:AA157)</f>
        <v>0</v>
      </c>
      <c r="C170" s="165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10</v>
      </c>
      <c r="P170" s="16">
        <f t="shared" si="468"/>
        <v>30</v>
      </c>
      <c r="Q170" s="16">
        <f t="shared" si="527"/>
        <v>-30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3" customFormat="1" ht="17.25" thickBot="1" x14ac:dyDescent="0.25">
      <c r="A171" s="141"/>
      <c r="B171" s="142">
        <f>SUM(B172:B200)</f>
        <v>18</v>
      </c>
      <c r="C171" s="157"/>
      <c r="D171" s="220" t="s">
        <v>62</v>
      </c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1"/>
    </row>
    <row r="172" spans="1:23" ht="10.5" hidden="1" customHeight="1" x14ac:dyDescent="0.2">
      <c r="A172" s="11"/>
      <c r="B172" s="148">
        <f>COUNTA(Spieltag!K159:AA159)</f>
        <v>0</v>
      </c>
      <c r="C172" s="165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20</v>
      </c>
      <c r="Q172" s="16">
        <f>IF(($Q$6&lt;&gt;0),$Q$6*-10,20)</f>
        <v>-10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8">
        <f>COUNTA(Spieltag!K160:AA160)</f>
        <v>0</v>
      </c>
      <c r="C173" s="165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20</v>
      </c>
      <c r="Q173" s="16">
        <f t="shared" ref="Q173:Q174" si="553">IF(($Q$6&lt;&gt;0),$Q$6*-10,20)</f>
        <v>-10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8">
        <f>COUNTA(Spieltag!K161:AA161)</f>
        <v>0</v>
      </c>
      <c r="C174" s="165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20</v>
      </c>
      <c r="Q174" s="16">
        <f t="shared" si="553"/>
        <v>-10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8">
        <f>COUNTA(Spieltag!K162:AA162)</f>
        <v>0</v>
      </c>
      <c r="C175" s="165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20</v>
      </c>
      <c r="Q175" s="16">
        <f t="shared" ref="Q175:Q185" si="566">IF(($Q$6&lt;&gt;0),$Q$6*-10,15)</f>
        <v>-10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8">
        <f>COUNTA(Spieltag!K163:AA163)</f>
        <v>0</v>
      </c>
      <c r="C176" s="165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20</v>
      </c>
      <c r="Q176" s="16">
        <f t="shared" si="566"/>
        <v>-10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8">
        <f>COUNTA(Spieltag!K164:AA164)</f>
        <v>2</v>
      </c>
      <c r="C177" s="165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678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20</v>
      </c>
      <c r="Q177" s="16">
        <f t="shared" si="566"/>
        <v>-10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40</v>
      </c>
    </row>
    <row r="178" spans="1:23" ht="10.5" hidden="1" customHeight="1" x14ac:dyDescent="0.2">
      <c r="A178" s="11"/>
      <c r="B178" s="148">
        <f>COUNTA(Spieltag!K165:AA165)</f>
        <v>0</v>
      </c>
      <c r="C178" s="165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20</v>
      </c>
      <c r="Q178" s="16">
        <f t="shared" si="566"/>
        <v>-10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8">
        <f>COUNTA(Spieltag!K166:AA166)</f>
        <v>0</v>
      </c>
      <c r="C179" s="165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20</v>
      </c>
      <c r="Q179" s="16">
        <f t="shared" si="566"/>
        <v>-10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8">
        <f>COUNTA(Spieltag!K167:AA167)</f>
        <v>0</v>
      </c>
      <c r="C180" s="165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20</v>
      </c>
      <c r="Q180" s="16">
        <f t="shared" si="566"/>
        <v>-10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8">
        <f>COUNTA(Spieltag!K168:AA168)</f>
        <v>1</v>
      </c>
      <c r="C181" s="165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678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20</v>
      </c>
      <c r="Q181" s="16">
        <f t="shared" si="566"/>
        <v>-10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40</v>
      </c>
    </row>
    <row r="182" spans="1:23" ht="10.5" hidden="1" customHeight="1" x14ac:dyDescent="0.2">
      <c r="A182" s="11"/>
      <c r="B182" s="148">
        <f>COUNTA(Spieltag!K169:AA169)</f>
        <v>0</v>
      </c>
      <c r="C182" s="165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20</v>
      </c>
      <c r="Q182" s="16">
        <f t="shared" si="566"/>
        <v>-10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8">
        <f>COUNTA(Spieltag!K170:AA170)</f>
        <v>0</v>
      </c>
      <c r="C183" s="165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20</v>
      </c>
      <c r="Q183" s="16">
        <f t="shared" si="566"/>
        <v>-10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8">
        <f>COUNTA(Spieltag!K171:AA171)</f>
        <v>0</v>
      </c>
      <c r="C184" s="165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20</v>
      </c>
      <c r="Q184" s="16">
        <f t="shared" si="566"/>
        <v>-10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8">
        <f>COUNTA(Spieltag!K172:AA172)</f>
        <v>0</v>
      </c>
      <c r="C185" s="165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20</v>
      </c>
      <c r="Q185" s="16">
        <f t="shared" si="566"/>
        <v>-10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8">
        <f>COUNTA(Spieltag!K173:AA173)</f>
        <v>5</v>
      </c>
      <c r="C186" s="165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678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20</v>
      </c>
      <c r="Q186" s="16">
        <f t="shared" ref="Q186:Q193" si="592">IF(($Q$6&lt;&gt;0),$Q$6*-10,10)</f>
        <v>-10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40</v>
      </c>
    </row>
    <row r="187" spans="1:23" ht="10.5" hidden="1" customHeight="1" x14ac:dyDescent="0.2">
      <c r="A187" s="11"/>
      <c r="B187" s="148">
        <f>COUNTA(Spieltag!K174:AA174)</f>
        <v>0</v>
      </c>
      <c r="C187" s="165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20</v>
      </c>
      <c r="Q187" s="16">
        <f t="shared" si="592"/>
        <v>-10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8">
        <f>COUNTA(Spieltag!K175:AA175)</f>
        <v>8</v>
      </c>
      <c r="C188" s="165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678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20</v>
      </c>
      <c r="Q188" s="16">
        <f t="shared" si="592"/>
        <v>-10</v>
      </c>
      <c r="R188" s="14"/>
      <c r="S188" s="15">
        <f>R188*10</f>
        <v>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40</v>
      </c>
    </row>
    <row r="189" spans="1:23" ht="10.5" hidden="1" customHeight="1" x14ac:dyDescent="0.2">
      <c r="A189" s="11"/>
      <c r="B189" s="148">
        <f>COUNTA(Spieltag!K176:AA176)</f>
        <v>0</v>
      </c>
      <c r="C189" s="165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20</v>
      </c>
      <c r="Q189" s="16">
        <f t="shared" si="592"/>
        <v>-10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8">
        <f>COUNTA(Spieltag!K177:AA177)</f>
        <v>0</v>
      </c>
      <c r="C190" s="165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20</v>
      </c>
      <c r="Q190" s="16">
        <f t="shared" si="592"/>
        <v>-10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8">
        <f>COUNTA(Spieltag!K178:AA178)</f>
        <v>0</v>
      </c>
      <c r="C191" s="165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20</v>
      </c>
      <c r="Q191" s="16">
        <f t="shared" si="592"/>
        <v>-10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8">
        <f>COUNTA(Spieltag!K179:AA179)</f>
        <v>0</v>
      </c>
      <c r="C192" s="165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20</v>
      </c>
      <c r="Q192" s="16">
        <f t="shared" si="592"/>
        <v>-10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8">
        <f>COUNTA(Spieltag!K180:AA180)</f>
        <v>0</v>
      </c>
      <c r="C193" s="165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20</v>
      </c>
      <c r="Q193" s="16">
        <f t="shared" si="592"/>
        <v>-10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8">
        <f>COUNTA(Spieltag!K181:AA181)</f>
        <v>0</v>
      </c>
      <c r="C194" s="165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20</v>
      </c>
      <c r="Q194" s="16">
        <f t="shared" ref="Q194:Q200" si="601">IF(($Q$6&lt;&gt;0),$Q$6*-10,5)</f>
        <v>-10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8">
        <f>COUNTA(Spieltag!K182:AA182)</f>
        <v>2</v>
      </c>
      <c r="C195" s="165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678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20</v>
      </c>
      <c r="Q195" s="16">
        <f t="shared" si="601"/>
        <v>-10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40</v>
      </c>
    </row>
    <row r="196" spans="1:23" ht="10.5" hidden="1" customHeight="1" x14ac:dyDescent="0.2">
      <c r="A196" s="11"/>
      <c r="B196" s="148">
        <f>COUNTA(Spieltag!K183:AA183)</f>
        <v>0</v>
      </c>
      <c r="C196" s="165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20</v>
      </c>
      <c r="Q196" s="16">
        <f t="shared" si="601"/>
        <v>-10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8">
        <f>COUNTA(Spieltag!K184:AA184)</f>
        <v>0</v>
      </c>
      <c r="C197" s="165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20</v>
      </c>
      <c r="Q197" s="16">
        <f t="shared" si="601"/>
        <v>-10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8">
        <f>COUNTA(Spieltag!K185:AA185)</f>
        <v>0</v>
      </c>
      <c r="C198" s="165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20</v>
      </c>
      <c r="Q198" s="16">
        <f t="shared" si="601"/>
        <v>-10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8">
        <f>COUNTA(Spieltag!K186:AA186)</f>
        <v>0</v>
      </c>
      <c r="C199" s="165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20</v>
      </c>
      <c r="Q199" s="16">
        <f t="shared" si="601"/>
        <v>-10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8">
        <f>COUNTA(Spieltag!K187:AA187)</f>
        <v>0</v>
      </c>
      <c r="C200" s="165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20</v>
      </c>
      <c r="Q200" s="16">
        <f t="shared" si="601"/>
        <v>-10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3" customFormat="1" ht="17.25" thickBot="1" x14ac:dyDescent="0.25">
      <c r="A201" s="141"/>
      <c r="B201" s="142">
        <f>SUM(B202:B237)</f>
        <v>9</v>
      </c>
      <c r="C201" s="157"/>
      <c r="D201" s="220" t="s">
        <v>106</v>
      </c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1"/>
    </row>
    <row r="202" spans="1:23" ht="10.5" customHeight="1" x14ac:dyDescent="0.2">
      <c r="A202" s="11"/>
      <c r="B202" s="149">
        <f>COUNTA(Spieltag!K189:AA189)</f>
        <v>3</v>
      </c>
      <c r="C202" s="165">
        <f>Spieltag!A189</f>
        <v>1</v>
      </c>
      <c r="D202" s="21" t="str">
        <f>Spieltag!B189</f>
        <v>Kevin Trapp</v>
      </c>
      <c r="E202" s="150" t="str">
        <f>Spieltag!C189</f>
        <v>Torwart</v>
      </c>
      <c r="F202" s="151" t="s">
        <v>103</v>
      </c>
      <c r="G202" s="152" t="s">
        <v>678</v>
      </c>
      <c r="H202" s="153">
        <f>IF(G202="x",10,0)</f>
        <v>10</v>
      </c>
      <c r="I202" s="152"/>
      <c r="J202" s="153">
        <f>IF((I202="x"),-10,0)</f>
        <v>0</v>
      </c>
      <c r="K202" s="152"/>
      <c r="L202" s="153">
        <f>IF((K202="x"),-20,0)</f>
        <v>0</v>
      </c>
      <c r="M202" s="152"/>
      <c r="N202" s="153">
        <f>IF((M202="x"),-30,0)</f>
        <v>0</v>
      </c>
      <c r="O202" s="154">
        <f>IF(AND($V$9&gt;$W$9),20,IF($V$9=$W$9,10,0))</f>
        <v>10</v>
      </c>
      <c r="P202" s="154">
        <f>IF(($V$9&lt;&gt;0),$V$9*10,-5)</f>
        <v>30</v>
      </c>
      <c r="Q202" s="154">
        <f>IF(($W$9&lt;&gt;0),$W$9*-10,20)</f>
        <v>-30</v>
      </c>
      <c r="R202" s="152"/>
      <c r="S202" s="153">
        <f>R202*20</f>
        <v>0</v>
      </c>
      <c r="T202" s="152"/>
      <c r="U202" s="153">
        <f>T202*-15</f>
        <v>0</v>
      </c>
      <c r="V202" s="154">
        <f>IF(AND(R202=2),10,IF(R202=3,30,IF(R202=4,50,IF(R202=5,70,0))))</f>
        <v>0</v>
      </c>
      <c r="W202" s="155">
        <f>IF(G202="x",H202+J202+L202+N202+O202+P202+Q202+S202+U202+V202,0)</f>
        <v>20</v>
      </c>
    </row>
    <row r="203" spans="1:23" ht="10.5" hidden="1" customHeight="1" x14ac:dyDescent="0.2">
      <c r="A203" s="11"/>
      <c r="B203" s="149">
        <f>COUNTA(Spieltag!K190:AA190)</f>
        <v>0</v>
      </c>
      <c r="C203" s="165">
        <f>Spieltag!A190</f>
        <v>31</v>
      </c>
      <c r="D203" s="21" t="str">
        <f>Spieltag!B190</f>
        <v>Jens Grahl</v>
      </c>
      <c r="E203" s="150" t="str">
        <f>Spieltag!C190</f>
        <v>Torwart</v>
      </c>
      <c r="F203" s="151" t="s">
        <v>103</v>
      </c>
      <c r="G203" s="152"/>
      <c r="H203" s="153">
        <f t="shared" ref="H203:H207" si="626">IF(G203="x",10,0)</f>
        <v>0</v>
      </c>
      <c r="I203" s="152"/>
      <c r="J203" s="153">
        <f t="shared" ref="J203:J207" si="627">IF((I203="x"),-10,0)</f>
        <v>0</v>
      </c>
      <c r="K203" s="152"/>
      <c r="L203" s="153">
        <f t="shared" ref="L203:L207" si="628">IF((K203="x"),-20,0)</f>
        <v>0</v>
      </c>
      <c r="M203" s="152"/>
      <c r="N203" s="153">
        <f t="shared" ref="N203:N207" si="629">IF((M203="x"),-30,0)</f>
        <v>0</v>
      </c>
      <c r="O203" s="154">
        <f t="shared" ref="O203:O207" si="630">IF(AND($V$9&gt;$W$9),20,IF($V$9=$W$9,10,0))</f>
        <v>10</v>
      </c>
      <c r="P203" s="154">
        <f t="shared" ref="P203:P207" si="631">IF(($V$9&lt;&gt;0),$V$9*10,-5)</f>
        <v>30</v>
      </c>
      <c r="Q203" s="154">
        <f t="shared" ref="Q203:Q207" si="632">IF(($W$9&lt;&gt;0),$W$9*-10,20)</f>
        <v>-30</v>
      </c>
      <c r="R203" s="152"/>
      <c r="S203" s="153">
        <f t="shared" ref="S203:S207" si="633">R203*20</f>
        <v>0</v>
      </c>
      <c r="T203" s="152"/>
      <c r="U203" s="153">
        <f t="shared" ref="U203:U207" si="634">T203*-15</f>
        <v>0</v>
      </c>
      <c r="V203" s="154">
        <f t="shared" ref="V203:V207" si="635">IF(AND(R203=2),10,IF(R203=3,30,IF(R203=4,50,IF(R203=5,70,0))))</f>
        <v>0</v>
      </c>
      <c r="W203" s="155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49">
        <f>COUNTA(Spieltag!K191:AA191)</f>
        <v>0</v>
      </c>
      <c r="C204" s="165">
        <f>Spieltag!A191</f>
        <v>38</v>
      </c>
      <c r="D204" s="21" t="str">
        <f>Spieltag!B191</f>
        <v>Nils Ramming</v>
      </c>
      <c r="E204" s="150" t="str">
        <f>Spieltag!C191</f>
        <v>Torwart</v>
      </c>
      <c r="F204" s="151" t="s">
        <v>103</v>
      </c>
      <c r="G204" s="152"/>
      <c r="H204" s="153">
        <f t="shared" ref="H204" si="637">IF(G204="x",10,0)</f>
        <v>0</v>
      </c>
      <c r="I204" s="152"/>
      <c r="J204" s="153">
        <f t="shared" ref="J204" si="638">IF((I204="x"),-10,0)</f>
        <v>0</v>
      </c>
      <c r="K204" s="152"/>
      <c r="L204" s="153">
        <f t="shared" ref="L204" si="639">IF((K204="x"),-20,0)</f>
        <v>0</v>
      </c>
      <c r="M204" s="152"/>
      <c r="N204" s="153">
        <f t="shared" ref="N204" si="640">IF((M204="x"),-30,0)</f>
        <v>0</v>
      </c>
      <c r="O204" s="154">
        <f t="shared" si="630"/>
        <v>10</v>
      </c>
      <c r="P204" s="154">
        <f t="shared" si="631"/>
        <v>30</v>
      </c>
      <c r="Q204" s="154">
        <f t="shared" si="632"/>
        <v>-30</v>
      </c>
      <c r="R204" s="152"/>
      <c r="S204" s="153">
        <f t="shared" ref="S204" si="641">R204*20</f>
        <v>0</v>
      </c>
      <c r="T204" s="152"/>
      <c r="U204" s="153">
        <f t="shared" ref="U204" si="642">T204*-15</f>
        <v>0</v>
      </c>
      <c r="V204" s="154">
        <f t="shared" ref="V204" si="643">IF(AND(R204=2),10,IF(R204=3,30,IF(R204=4,50,IF(R204=5,70,0))))</f>
        <v>0</v>
      </c>
      <c r="W204" s="155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49">
        <f>COUNTA(Spieltag!K192:AA192)</f>
        <v>0</v>
      </c>
      <c r="C205" s="165">
        <f>Spieltag!A192</f>
        <v>40</v>
      </c>
      <c r="D205" s="21" t="str">
        <f>Spieltag!B192</f>
        <v>Kauã Santos (A)</v>
      </c>
      <c r="E205" s="150" t="str">
        <f>Spieltag!C192</f>
        <v>Torwart</v>
      </c>
      <c r="F205" s="151" t="s">
        <v>103</v>
      </c>
      <c r="G205" s="152"/>
      <c r="H205" s="153">
        <f t="shared" si="626"/>
        <v>0</v>
      </c>
      <c r="I205" s="152"/>
      <c r="J205" s="153">
        <f t="shared" si="627"/>
        <v>0</v>
      </c>
      <c r="K205" s="152"/>
      <c r="L205" s="153">
        <f t="shared" si="628"/>
        <v>0</v>
      </c>
      <c r="M205" s="152"/>
      <c r="N205" s="153">
        <f t="shared" si="629"/>
        <v>0</v>
      </c>
      <c r="O205" s="154">
        <f t="shared" si="630"/>
        <v>10</v>
      </c>
      <c r="P205" s="154">
        <f t="shared" si="631"/>
        <v>30</v>
      </c>
      <c r="Q205" s="154">
        <f t="shared" si="632"/>
        <v>-30</v>
      </c>
      <c r="R205" s="152"/>
      <c r="S205" s="153">
        <f t="shared" si="633"/>
        <v>0</v>
      </c>
      <c r="T205" s="152"/>
      <c r="U205" s="153">
        <f t="shared" si="634"/>
        <v>0</v>
      </c>
      <c r="V205" s="154">
        <f t="shared" si="635"/>
        <v>0</v>
      </c>
      <c r="W205" s="155">
        <f t="shared" si="636"/>
        <v>0</v>
      </c>
    </row>
    <row r="206" spans="1:23" ht="10.5" hidden="1" customHeight="1" x14ac:dyDescent="0.2">
      <c r="A206" s="11"/>
      <c r="B206" s="149">
        <f>COUNTA(Spieltag!K193:AA193)</f>
        <v>0</v>
      </c>
      <c r="C206" s="165">
        <f>Spieltag!A193</f>
        <v>41</v>
      </c>
      <c r="D206" s="21" t="str">
        <f>Spieltag!B193</f>
        <v>Simon Simoni (A)</v>
      </c>
      <c r="E206" s="150" t="str">
        <f>Spieltag!C193</f>
        <v>Torwart</v>
      </c>
      <c r="F206" s="151" t="s">
        <v>103</v>
      </c>
      <c r="G206" s="152"/>
      <c r="H206" s="153">
        <f t="shared" ref="H206" si="645">IF(G206="x",10,0)</f>
        <v>0</v>
      </c>
      <c r="I206" s="152"/>
      <c r="J206" s="153">
        <f t="shared" ref="J206" si="646">IF((I206="x"),-10,0)</f>
        <v>0</v>
      </c>
      <c r="K206" s="152"/>
      <c r="L206" s="153">
        <f t="shared" ref="L206" si="647">IF((K206="x"),-20,0)</f>
        <v>0</v>
      </c>
      <c r="M206" s="152"/>
      <c r="N206" s="153">
        <f t="shared" ref="N206" si="648">IF((M206="x"),-30,0)</f>
        <v>0</v>
      </c>
      <c r="O206" s="154">
        <f t="shared" si="630"/>
        <v>10</v>
      </c>
      <c r="P206" s="154">
        <f t="shared" si="631"/>
        <v>30</v>
      </c>
      <c r="Q206" s="154">
        <f t="shared" si="632"/>
        <v>-30</v>
      </c>
      <c r="R206" s="152"/>
      <c r="S206" s="153">
        <f t="shared" ref="S206" si="649">R206*20</f>
        <v>0</v>
      </c>
      <c r="T206" s="152"/>
      <c r="U206" s="153">
        <f t="shared" ref="U206" si="650">T206*-15</f>
        <v>0</v>
      </c>
      <c r="V206" s="154">
        <f t="shared" ref="V206" si="651">IF(AND(R206=2),10,IF(R206=3,30,IF(R206=4,50,IF(R206=5,70,0))))</f>
        <v>0</v>
      </c>
      <c r="W206" s="155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49">
        <f>COUNTA(Spieltag!K194:AA194)</f>
        <v>0</v>
      </c>
      <c r="C207" s="165">
        <f>Spieltag!A194</f>
        <v>42</v>
      </c>
      <c r="D207" s="21" t="str">
        <f>Spieltag!B194</f>
        <v>Luke Grauer</v>
      </c>
      <c r="E207" s="150" t="str">
        <f>Spieltag!C194</f>
        <v>Torwart</v>
      </c>
      <c r="F207" s="151" t="s">
        <v>103</v>
      </c>
      <c r="G207" s="152"/>
      <c r="H207" s="153">
        <f t="shared" si="626"/>
        <v>0</v>
      </c>
      <c r="I207" s="152"/>
      <c r="J207" s="153">
        <f t="shared" si="627"/>
        <v>0</v>
      </c>
      <c r="K207" s="152"/>
      <c r="L207" s="153">
        <f t="shared" si="628"/>
        <v>0</v>
      </c>
      <c r="M207" s="152"/>
      <c r="N207" s="153">
        <f t="shared" si="629"/>
        <v>0</v>
      </c>
      <c r="O207" s="154">
        <f t="shared" si="630"/>
        <v>10</v>
      </c>
      <c r="P207" s="154">
        <f t="shared" si="631"/>
        <v>30</v>
      </c>
      <c r="Q207" s="154">
        <f t="shared" si="632"/>
        <v>-30</v>
      </c>
      <c r="R207" s="152"/>
      <c r="S207" s="153">
        <f t="shared" si="633"/>
        <v>0</v>
      </c>
      <c r="T207" s="152"/>
      <c r="U207" s="153">
        <f t="shared" si="634"/>
        <v>0</v>
      </c>
      <c r="V207" s="154">
        <f t="shared" si="635"/>
        <v>0</v>
      </c>
      <c r="W207" s="155">
        <f t="shared" si="636"/>
        <v>0</v>
      </c>
    </row>
    <row r="208" spans="1:23" ht="10.5" hidden="1" customHeight="1" x14ac:dyDescent="0.2">
      <c r="A208" s="11"/>
      <c r="B208" s="149">
        <f>COUNTA(Spieltag!K195:AA195)</f>
        <v>0</v>
      </c>
      <c r="C208" s="165">
        <f>Spieltag!A195</f>
        <v>3</v>
      </c>
      <c r="D208" s="21" t="str">
        <f>Spieltag!B195</f>
        <v>Willian Pacho (A)</v>
      </c>
      <c r="E208" s="150" t="str">
        <f>Spieltag!C195</f>
        <v>Abwehr</v>
      </c>
      <c r="F208" s="151" t="s">
        <v>103</v>
      </c>
      <c r="G208" s="152"/>
      <c r="H208" s="153">
        <f>IF(G208="x",10,0)</f>
        <v>0</v>
      </c>
      <c r="I208" s="152"/>
      <c r="J208" s="153">
        <f>IF((I208="x"),-10,0)</f>
        <v>0</v>
      </c>
      <c r="K208" s="152"/>
      <c r="L208" s="153">
        <f>IF((K208="x"),-20,0)</f>
        <v>0</v>
      </c>
      <c r="M208" s="152"/>
      <c r="N208" s="153">
        <f>IF((M208="x"),-30,0)</f>
        <v>0</v>
      </c>
      <c r="O208" s="154">
        <f t="shared" ref="O208:O218" si="653">IF(AND($V$9&gt;$W$9),20,IF($V$9=$W$9,10,0))</f>
        <v>10</v>
      </c>
      <c r="P208" s="154">
        <f t="shared" ref="P208:P218" si="654">IF(($V$9&lt;&gt;0),$V$9*10,-5)</f>
        <v>30</v>
      </c>
      <c r="Q208" s="154">
        <f t="shared" ref="Q208:Q218" si="655">IF(($W$9&lt;&gt;0),$W$9*-10,15)</f>
        <v>-30</v>
      </c>
      <c r="R208" s="152"/>
      <c r="S208" s="153">
        <f>R208*15</f>
        <v>0</v>
      </c>
      <c r="T208" s="152"/>
      <c r="U208" s="153">
        <f>T208*-15</f>
        <v>0</v>
      </c>
      <c r="V208" s="154">
        <f>IF(AND(R208=2),10,IF(R208=3,30,IF(R208=4,50,IF(R208=5,70,0))))</f>
        <v>0</v>
      </c>
      <c r="W208" s="155">
        <f>IF(G208="x",H208+J208+L208+N208+O208+P208+Q208+S208+U208+V208,0)</f>
        <v>0</v>
      </c>
    </row>
    <row r="209" spans="1:23" ht="10.5" customHeight="1" x14ac:dyDescent="0.2">
      <c r="A209" s="11"/>
      <c r="B209" s="149">
        <f>COUNTA(Spieltag!K196:AA196)</f>
        <v>1</v>
      </c>
      <c r="C209" s="165">
        <f>Spieltag!A196</f>
        <v>4</v>
      </c>
      <c r="D209" s="21" t="str">
        <f>Spieltag!B196</f>
        <v>Robin Koch</v>
      </c>
      <c r="E209" s="150" t="str">
        <f>Spieltag!C196</f>
        <v>Abwehr</v>
      </c>
      <c r="F209" s="151" t="s">
        <v>103</v>
      </c>
      <c r="G209" s="152" t="s">
        <v>59</v>
      </c>
      <c r="H209" s="153">
        <f t="shared" ref="H209:H218" si="656">IF(G209="x",10,0)</f>
        <v>0</v>
      </c>
      <c r="I209" s="152"/>
      <c r="J209" s="153">
        <f t="shared" ref="J209:J218" si="657">IF((I209="x"),-10,0)</f>
        <v>0</v>
      </c>
      <c r="K209" s="152"/>
      <c r="L209" s="153">
        <f t="shared" ref="L209:L218" si="658">IF((K209="x"),-20,0)</f>
        <v>0</v>
      </c>
      <c r="M209" s="152"/>
      <c r="N209" s="153">
        <f t="shared" ref="N209:N218" si="659">IF((M209="x"),-30,0)</f>
        <v>0</v>
      </c>
      <c r="O209" s="154">
        <f t="shared" si="653"/>
        <v>10</v>
      </c>
      <c r="P209" s="154">
        <f t="shared" si="654"/>
        <v>30</v>
      </c>
      <c r="Q209" s="154">
        <f t="shared" si="655"/>
        <v>-30</v>
      </c>
      <c r="R209" s="152"/>
      <c r="S209" s="153">
        <f t="shared" ref="S209:S218" si="660">R209*15</f>
        <v>0</v>
      </c>
      <c r="T209" s="152"/>
      <c r="U209" s="153">
        <f t="shared" ref="U209:U218" si="661">T209*-15</f>
        <v>0</v>
      </c>
      <c r="V209" s="154">
        <f t="shared" ref="V209:V218" si="662">IF(AND(R209=2),10,IF(R209=3,30,IF(R209=4,50,IF(R209=5,70,0))))</f>
        <v>0</v>
      </c>
      <c r="W209" s="155">
        <f t="shared" ref="W209:W218" si="663">IF(G209="x",H209+J209+L209+N209+O209+P209+Q209+S209+U209+V209,0)</f>
        <v>0</v>
      </c>
    </row>
    <row r="210" spans="1:23" ht="10.5" hidden="1" customHeight="1" x14ac:dyDescent="0.2">
      <c r="A210" s="11"/>
      <c r="B210" s="149">
        <f>COUNTA(Spieltag!K197:AA197)</f>
        <v>0</v>
      </c>
      <c r="C210" s="165">
        <f>Spieltag!A197</f>
        <v>5</v>
      </c>
      <c r="D210" s="21" t="str">
        <f>Spieltag!B197</f>
        <v>Hrvoje Smolčić (A)</v>
      </c>
      <c r="E210" s="150" t="str">
        <f>Spieltag!C197</f>
        <v>Abwehr</v>
      </c>
      <c r="F210" s="151" t="s">
        <v>103</v>
      </c>
      <c r="G210" s="152"/>
      <c r="H210" s="153">
        <f t="shared" si="656"/>
        <v>0</v>
      </c>
      <c r="I210" s="152"/>
      <c r="J210" s="153">
        <f t="shared" si="657"/>
        <v>0</v>
      </c>
      <c r="K210" s="152"/>
      <c r="L210" s="153">
        <f t="shared" si="658"/>
        <v>0</v>
      </c>
      <c r="M210" s="152"/>
      <c r="N210" s="153">
        <f t="shared" si="659"/>
        <v>0</v>
      </c>
      <c r="O210" s="154">
        <f t="shared" si="653"/>
        <v>10</v>
      </c>
      <c r="P210" s="154">
        <f t="shared" si="654"/>
        <v>30</v>
      </c>
      <c r="Q210" s="154">
        <f t="shared" si="655"/>
        <v>-30</v>
      </c>
      <c r="R210" s="152"/>
      <c r="S210" s="153">
        <f t="shared" si="660"/>
        <v>0</v>
      </c>
      <c r="T210" s="152"/>
      <c r="U210" s="153">
        <f t="shared" si="661"/>
        <v>0</v>
      </c>
      <c r="V210" s="154">
        <f t="shared" si="662"/>
        <v>0</v>
      </c>
      <c r="W210" s="155">
        <f t="shared" si="663"/>
        <v>0</v>
      </c>
    </row>
    <row r="211" spans="1:23" ht="10.5" hidden="1" customHeight="1" x14ac:dyDescent="0.2">
      <c r="A211" s="11"/>
      <c r="B211" s="149">
        <f>COUNTA(Spieltag!K198:AA198)</f>
        <v>0</v>
      </c>
      <c r="C211" s="165">
        <f>Spieltag!A198</f>
        <v>20</v>
      </c>
      <c r="D211" s="21" t="str">
        <f>Spieltag!B198</f>
        <v>Makoto Hasebe (A)</v>
      </c>
      <c r="E211" s="150" t="str">
        <f>Spieltag!C198</f>
        <v>Abwehr</v>
      </c>
      <c r="F211" s="151" t="s">
        <v>103</v>
      </c>
      <c r="G211" s="152"/>
      <c r="H211" s="153">
        <f t="shared" si="656"/>
        <v>0</v>
      </c>
      <c r="I211" s="152"/>
      <c r="J211" s="153">
        <f t="shared" si="657"/>
        <v>0</v>
      </c>
      <c r="K211" s="152"/>
      <c r="L211" s="153">
        <f t="shared" si="658"/>
        <v>0</v>
      </c>
      <c r="M211" s="152"/>
      <c r="N211" s="153">
        <f t="shared" si="659"/>
        <v>0</v>
      </c>
      <c r="O211" s="154">
        <f t="shared" si="653"/>
        <v>10</v>
      </c>
      <c r="P211" s="154">
        <f t="shared" si="654"/>
        <v>30</v>
      </c>
      <c r="Q211" s="154">
        <f t="shared" si="655"/>
        <v>-30</v>
      </c>
      <c r="R211" s="152"/>
      <c r="S211" s="153">
        <f t="shared" si="660"/>
        <v>0</v>
      </c>
      <c r="T211" s="152"/>
      <c r="U211" s="153">
        <f t="shared" si="661"/>
        <v>0</v>
      </c>
      <c r="V211" s="154">
        <f t="shared" si="662"/>
        <v>0</v>
      </c>
      <c r="W211" s="155">
        <f t="shared" si="663"/>
        <v>0</v>
      </c>
    </row>
    <row r="212" spans="1:23" ht="10.5" hidden="1" customHeight="1" x14ac:dyDescent="0.2">
      <c r="A212" s="11"/>
      <c r="B212" s="149">
        <f>COUNTA(Spieltag!K199:AA199)</f>
        <v>0</v>
      </c>
      <c r="C212" s="165">
        <f>Spieltag!A199</f>
        <v>24</v>
      </c>
      <c r="D212" s="21" t="str">
        <f>Spieltag!B199</f>
        <v>Aurélio Buta (A)</v>
      </c>
      <c r="E212" s="150" t="str">
        <f>Spieltag!C199</f>
        <v>Abwehr</v>
      </c>
      <c r="F212" s="151" t="s">
        <v>103</v>
      </c>
      <c r="G212" s="152"/>
      <c r="H212" s="153">
        <f t="shared" si="656"/>
        <v>0</v>
      </c>
      <c r="I212" s="152"/>
      <c r="J212" s="153">
        <f t="shared" si="657"/>
        <v>0</v>
      </c>
      <c r="K212" s="152"/>
      <c r="L212" s="153">
        <f t="shared" si="658"/>
        <v>0</v>
      </c>
      <c r="M212" s="152"/>
      <c r="N212" s="153">
        <f t="shared" si="659"/>
        <v>0</v>
      </c>
      <c r="O212" s="154">
        <f t="shared" si="653"/>
        <v>10</v>
      </c>
      <c r="P212" s="154">
        <f t="shared" si="654"/>
        <v>30</v>
      </c>
      <c r="Q212" s="154">
        <f t="shared" si="655"/>
        <v>-30</v>
      </c>
      <c r="R212" s="152"/>
      <c r="S212" s="153">
        <f t="shared" si="660"/>
        <v>0</v>
      </c>
      <c r="T212" s="152"/>
      <c r="U212" s="153">
        <f t="shared" si="661"/>
        <v>0</v>
      </c>
      <c r="V212" s="154">
        <f t="shared" si="662"/>
        <v>0</v>
      </c>
      <c r="W212" s="155">
        <f t="shared" si="663"/>
        <v>0</v>
      </c>
    </row>
    <row r="213" spans="1:23" ht="10.5" hidden="1" customHeight="1" x14ac:dyDescent="0.2">
      <c r="A213" s="11"/>
      <c r="B213" s="149">
        <f>COUNTA(Spieltag!K200:AA200)</f>
        <v>0</v>
      </c>
      <c r="C213" s="165">
        <f>Spieltag!A200</f>
        <v>29</v>
      </c>
      <c r="D213" s="21" t="str">
        <f>Spieltag!B200</f>
        <v>Niels Nkounkou (A)</v>
      </c>
      <c r="E213" s="150" t="str">
        <f>Spieltag!C200</f>
        <v>Abwehr</v>
      </c>
      <c r="F213" s="151" t="s">
        <v>103</v>
      </c>
      <c r="G213" s="152"/>
      <c r="H213" s="153">
        <f t="shared" si="656"/>
        <v>0</v>
      </c>
      <c r="I213" s="152"/>
      <c r="J213" s="153">
        <f t="shared" si="657"/>
        <v>0</v>
      </c>
      <c r="K213" s="152"/>
      <c r="L213" s="153">
        <f t="shared" si="658"/>
        <v>0</v>
      </c>
      <c r="M213" s="152"/>
      <c r="N213" s="153">
        <f t="shared" si="659"/>
        <v>0</v>
      </c>
      <c r="O213" s="154">
        <f t="shared" si="653"/>
        <v>10</v>
      </c>
      <c r="P213" s="154">
        <f t="shared" si="654"/>
        <v>30</v>
      </c>
      <c r="Q213" s="154">
        <f t="shared" si="655"/>
        <v>-30</v>
      </c>
      <c r="R213" s="152"/>
      <c r="S213" s="153">
        <f t="shared" si="660"/>
        <v>0</v>
      </c>
      <c r="T213" s="152"/>
      <c r="U213" s="153">
        <f t="shared" si="661"/>
        <v>0</v>
      </c>
      <c r="V213" s="154">
        <f t="shared" si="662"/>
        <v>0</v>
      </c>
      <c r="W213" s="155">
        <f t="shared" si="663"/>
        <v>0</v>
      </c>
    </row>
    <row r="214" spans="1:23" ht="10.5" hidden="1" customHeight="1" x14ac:dyDescent="0.2">
      <c r="A214" s="11"/>
      <c r="B214" s="149">
        <f>COUNTA(Spieltag!K201:AA201)</f>
        <v>0</v>
      </c>
      <c r="C214" s="165">
        <f>Spieltag!A201</f>
        <v>31</v>
      </c>
      <c r="D214" s="21" t="str">
        <f>Spieltag!B201</f>
        <v>Philipp Max</v>
      </c>
      <c r="E214" s="150" t="str">
        <f>Spieltag!C201</f>
        <v>Abwehr</v>
      </c>
      <c r="F214" s="151" t="s">
        <v>103</v>
      </c>
      <c r="G214" s="152"/>
      <c r="H214" s="153">
        <f t="shared" ref="H214" si="664">IF(G214="x",10,0)</f>
        <v>0</v>
      </c>
      <c r="I214" s="152"/>
      <c r="J214" s="153">
        <f t="shared" ref="J214" si="665">IF((I214="x"),-10,0)</f>
        <v>0</v>
      </c>
      <c r="K214" s="152"/>
      <c r="L214" s="153">
        <f t="shared" ref="L214" si="666">IF((K214="x"),-20,0)</f>
        <v>0</v>
      </c>
      <c r="M214" s="152"/>
      <c r="N214" s="153">
        <f t="shared" ref="N214" si="667">IF((M214="x"),-30,0)</f>
        <v>0</v>
      </c>
      <c r="O214" s="154">
        <f t="shared" si="653"/>
        <v>10</v>
      </c>
      <c r="P214" s="154">
        <f t="shared" si="654"/>
        <v>30</v>
      </c>
      <c r="Q214" s="154">
        <f t="shared" si="655"/>
        <v>-30</v>
      </c>
      <c r="R214" s="152"/>
      <c r="S214" s="153">
        <f t="shared" ref="S214" si="668">R214*15</f>
        <v>0</v>
      </c>
      <c r="T214" s="152"/>
      <c r="U214" s="153">
        <f t="shared" ref="U214" si="669">T214*-15</f>
        <v>0</v>
      </c>
      <c r="V214" s="154">
        <f t="shared" ref="V214" si="670">IF(AND(R214=2),10,IF(R214=3,30,IF(R214=4,50,IF(R214=5,70,0))))</f>
        <v>0</v>
      </c>
      <c r="W214" s="155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49">
        <f>COUNTA(Spieltag!K202:AA202)</f>
        <v>0</v>
      </c>
      <c r="C215" s="165">
        <f>Spieltag!A202</f>
        <v>34</v>
      </c>
      <c r="D215" s="21" t="str">
        <f>Spieltag!B202</f>
        <v>Nnamdi Collins</v>
      </c>
      <c r="E215" s="150" t="str">
        <f>Spieltag!C202</f>
        <v>Abwehr</v>
      </c>
      <c r="F215" s="151" t="s">
        <v>103</v>
      </c>
      <c r="G215" s="152"/>
      <c r="H215" s="153">
        <f t="shared" si="656"/>
        <v>0</v>
      </c>
      <c r="I215" s="152"/>
      <c r="J215" s="153">
        <f t="shared" si="657"/>
        <v>0</v>
      </c>
      <c r="K215" s="152"/>
      <c r="L215" s="153">
        <f t="shared" si="658"/>
        <v>0</v>
      </c>
      <c r="M215" s="152"/>
      <c r="N215" s="153">
        <f t="shared" si="659"/>
        <v>0</v>
      </c>
      <c r="O215" s="154">
        <f t="shared" si="653"/>
        <v>10</v>
      </c>
      <c r="P215" s="154">
        <f t="shared" si="654"/>
        <v>30</v>
      </c>
      <c r="Q215" s="154">
        <f t="shared" si="655"/>
        <v>-30</v>
      </c>
      <c r="R215" s="152"/>
      <c r="S215" s="153">
        <f t="shared" si="660"/>
        <v>0</v>
      </c>
      <c r="T215" s="152"/>
      <c r="U215" s="153">
        <f t="shared" si="661"/>
        <v>0</v>
      </c>
      <c r="V215" s="154">
        <f t="shared" si="662"/>
        <v>0</v>
      </c>
      <c r="W215" s="155">
        <f t="shared" si="663"/>
        <v>0</v>
      </c>
    </row>
    <row r="216" spans="1:23" ht="10.5" hidden="1" customHeight="1" x14ac:dyDescent="0.2">
      <c r="A216" s="11"/>
      <c r="B216" s="149">
        <f>COUNTA(Spieltag!K203:AA203)</f>
        <v>0</v>
      </c>
      <c r="C216" s="165">
        <f>Spieltag!A203</f>
        <v>35</v>
      </c>
      <c r="D216" s="21" t="str">
        <f>Spieltag!B203</f>
        <v>Tuta (A)</v>
      </c>
      <c r="E216" s="150" t="str">
        <f>Spieltag!C203</f>
        <v>Abwehr</v>
      </c>
      <c r="F216" s="151" t="s">
        <v>103</v>
      </c>
      <c r="G216" s="152"/>
      <c r="H216" s="153">
        <f t="shared" si="656"/>
        <v>0</v>
      </c>
      <c r="I216" s="152"/>
      <c r="J216" s="153">
        <f t="shared" si="657"/>
        <v>0</v>
      </c>
      <c r="K216" s="152"/>
      <c r="L216" s="153">
        <f t="shared" si="658"/>
        <v>0</v>
      </c>
      <c r="M216" s="152"/>
      <c r="N216" s="153">
        <f t="shared" si="659"/>
        <v>0</v>
      </c>
      <c r="O216" s="154">
        <f t="shared" si="653"/>
        <v>10</v>
      </c>
      <c r="P216" s="154">
        <f t="shared" si="654"/>
        <v>30</v>
      </c>
      <c r="Q216" s="154">
        <f t="shared" si="655"/>
        <v>-30</v>
      </c>
      <c r="R216" s="152"/>
      <c r="S216" s="153">
        <f t="shared" si="660"/>
        <v>0</v>
      </c>
      <c r="T216" s="152"/>
      <c r="U216" s="153">
        <f t="shared" si="661"/>
        <v>0</v>
      </c>
      <c r="V216" s="154">
        <f t="shared" si="662"/>
        <v>0</v>
      </c>
      <c r="W216" s="155">
        <f t="shared" si="663"/>
        <v>0</v>
      </c>
    </row>
    <row r="217" spans="1:23" ht="10.5" hidden="1" customHeight="1" x14ac:dyDescent="0.2">
      <c r="A217" s="11"/>
      <c r="B217" s="149">
        <f>COUNTA(Spieltag!K204:AA204)</f>
        <v>0</v>
      </c>
      <c r="C217" s="165">
        <f>Spieltag!A204</f>
        <v>46</v>
      </c>
      <c r="D217" s="21" t="str">
        <f>Spieltag!B204</f>
        <v>Dario Gebuhr</v>
      </c>
      <c r="E217" s="150" t="str">
        <f>Spieltag!C204</f>
        <v>Abwehr</v>
      </c>
      <c r="F217" s="151" t="s">
        <v>103</v>
      </c>
      <c r="G217" s="152"/>
      <c r="H217" s="153">
        <f t="shared" si="656"/>
        <v>0</v>
      </c>
      <c r="I217" s="152"/>
      <c r="J217" s="153">
        <f t="shared" si="657"/>
        <v>0</v>
      </c>
      <c r="K217" s="152"/>
      <c r="L217" s="153">
        <f t="shared" si="658"/>
        <v>0</v>
      </c>
      <c r="M217" s="152"/>
      <c r="N217" s="153">
        <f t="shared" si="659"/>
        <v>0</v>
      </c>
      <c r="O217" s="154">
        <f t="shared" si="653"/>
        <v>10</v>
      </c>
      <c r="P217" s="154">
        <f t="shared" si="654"/>
        <v>30</v>
      </c>
      <c r="Q217" s="154">
        <f t="shared" si="655"/>
        <v>-30</v>
      </c>
      <c r="R217" s="152"/>
      <c r="S217" s="153">
        <f t="shared" si="660"/>
        <v>0</v>
      </c>
      <c r="T217" s="152"/>
      <c r="U217" s="153">
        <f t="shared" si="661"/>
        <v>0</v>
      </c>
      <c r="V217" s="154">
        <f t="shared" si="662"/>
        <v>0</v>
      </c>
      <c r="W217" s="155">
        <f t="shared" si="663"/>
        <v>0</v>
      </c>
    </row>
    <row r="218" spans="1:23" ht="10.5" hidden="1" customHeight="1" x14ac:dyDescent="0.2">
      <c r="A218" s="11"/>
      <c r="B218" s="149">
        <f>COUNTA(Spieltag!K205:AA205)</f>
        <v>0</v>
      </c>
      <c r="C218" s="165">
        <f>Spieltag!A205</f>
        <v>47</v>
      </c>
      <c r="D218" s="21" t="str">
        <f>Spieltag!B205</f>
        <v>Elias Baum</v>
      </c>
      <c r="E218" s="150" t="str">
        <f>Spieltag!C205</f>
        <v>Abwehr</v>
      </c>
      <c r="F218" s="151" t="s">
        <v>103</v>
      </c>
      <c r="G218" s="152"/>
      <c r="H218" s="153">
        <f t="shared" si="656"/>
        <v>0</v>
      </c>
      <c r="I218" s="152"/>
      <c r="J218" s="153">
        <f t="shared" si="657"/>
        <v>0</v>
      </c>
      <c r="K218" s="152"/>
      <c r="L218" s="153">
        <f t="shared" si="658"/>
        <v>0</v>
      </c>
      <c r="M218" s="152"/>
      <c r="N218" s="153">
        <f t="shared" si="659"/>
        <v>0</v>
      </c>
      <c r="O218" s="154">
        <f t="shared" si="653"/>
        <v>10</v>
      </c>
      <c r="P218" s="154">
        <f t="shared" si="654"/>
        <v>30</v>
      </c>
      <c r="Q218" s="154">
        <f t="shared" si="655"/>
        <v>-30</v>
      </c>
      <c r="R218" s="152"/>
      <c r="S218" s="153">
        <f t="shared" si="660"/>
        <v>0</v>
      </c>
      <c r="T218" s="152"/>
      <c r="U218" s="153">
        <f t="shared" si="661"/>
        <v>0</v>
      </c>
      <c r="V218" s="154">
        <f t="shared" si="662"/>
        <v>0</v>
      </c>
      <c r="W218" s="155">
        <f t="shared" si="663"/>
        <v>0</v>
      </c>
    </row>
    <row r="219" spans="1:23" ht="10.5" hidden="1" customHeight="1" x14ac:dyDescent="0.2">
      <c r="A219" s="11"/>
      <c r="B219" s="149">
        <f>COUNTA(Spieltag!K206:AA206)</f>
        <v>0</v>
      </c>
      <c r="C219" s="165">
        <f>Spieltag!A206</f>
        <v>8</v>
      </c>
      <c r="D219" s="21" t="str">
        <f>Spieltag!B206</f>
        <v>Farès Chaibi (A)</v>
      </c>
      <c r="E219" s="150" t="str">
        <f>Spieltag!C206</f>
        <v>Mittelfeld</v>
      </c>
      <c r="F219" s="151" t="s">
        <v>103</v>
      </c>
      <c r="G219" s="152"/>
      <c r="H219" s="153">
        <f>IF(G219="x",10,0)</f>
        <v>0</v>
      </c>
      <c r="I219" s="152"/>
      <c r="J219" s="153">
        <f>IF((I219="x"),-10,0)</f>
        <v>0</v>
      </c>
      <c r="K219" s="152"/>
      <c r="L219" s="153">
        <f>IF((K219="x"),-20,0)</f>
        <v>0</v>
      </c>
      <c r="M219" s="152"/>
      <c r="N219" s="153">
        <f>IF((M219="x"),-30,0)</f>
        <v>0</v>
      </c>
      <c r="O219" s="154">
        <f t="shared" ref="O219:O230" si="672">IF(AND($V$9&gt;$W$9),20,IF($V$9=$W$9,10,0))</f>
        <v>10</v>
      </c>
      <c r="P219" s="154">
        <f t="shared" ref="P219:P230" si="673">IF(($V$9&lt;&gt;0),$V$9*10,-5)</f>
        <v>30</v>
      </c>
      <c r="Q219" s="154">
        <f t="shared" ref="Q219:Q230" si="674">IF(($W$9&lt;&gt;0),$W$9*-10,10)</f>
        <v>-30</v>
      </c>
      <c r="R219" s="152"/>
      <c r="S219" s="153">
        <f>R219*10</f>
        <v>0</v>
      </c>
      <c r="T219" s="152"/>
      <c r="U219" s="153">
        <f>T219*-15</f>
        <v>0</v>
      </c>
      <c r="V219" s="154">
        <f>IF(AND(R219=2),10,IF(R219=3,30,IF(R219=4,50,IF(R219=5,70,0))))</f>
        <v>0</v>
      </c>
      <c r="W219" s="155">
        <f>IF(G219="x",H219+J219+L219+N219+O219+P219+Q219+S219+U219+V219,0)</f>
        <v>0</v>
      </c>
    </row>
    <row r="220" spans="1:23" ht="10.5" hidden="1" customHeight="1" x14ac:dyDescent="0.2">
      <c r="A220" s="11"/>
      <c r="B220" s="149">
        <f>COUNTA(Spieltag!K207:AA207)</f>
        <v>0</v>
      </c>
      <c r="C220" s="165">
        <f>Spieltag!A207</f>
        <v>15</v>
      </c>
      <c r="D220" s="21" t="str">
        <f>Spieltag!B207</f>
        <v>Ellyes Skhiri (A)</v>
      </c>
      <c r="E220" s="150" t="str">
        <f>Spieltag!C207</f>
        <v>Mittelfeld</v>
      </c>
      <c r="F220" s="151" t="s">
        <v>103</v>
      </c>
      <c r="G220" s="152"/>
      <c r="H220" s="153">
        <f t="shared" ref="H220:H226" si="675">IF(G220="x",10,0)</f>
        <v>0</v>
      </c>
      <c r="I220" s="152"/>
      <c r="J220" s="153">
        <f t="shared" ref="J220:J226" si="676">IF((I220="x"),-10,0)</f>
        <v>0</v>
      </c>
      <c r="K220" s="152"/>
      <c r="L220" s="153">
        <f t="shared" ref="L220:L226" si="677">IF((K220="x"),-20,0)</f>
        <v>0</v>
      </c>
      <c r="M220" s="152"/>
      <c r="N220" s="153">
        <f t="shared" ref="N220:N226" si="678">IF((M220="x"),-30,0)</f>
        <v>0</v>
      </c>
      <c r="O220" s="154">
        <f t="shared" si="672"/>
        <v>10</v>
      </c>
      <c r="P220" s="154">
        <f t="shared" si="673"/>
        <v>30</v>
      </c>
      <c r="Q220" s="154">
        <f t="shared" si="674"/>
        <v>-30</v>
      </c>
      <c r="R220" s="152"/>
      <c r="S220" s="153">
        <f t="shared" ref="S220:S226" si="679">R220*10</f>
        <v>0</v>
      </c>
      <c r="T220" s="152"/>
      <c r="U220" s="153">
        <f t="shared" ref="U220:U226" si="680">T220*-15</f>
        <v>0</v>
      </c>
      <c r="V220" s="154">
        <f t="shared" ref="V220:V226" si="681">IF(AND(R220=2),10,IF(R220=3,30,IF(R220=4,50,IF(R220=5,70,0))))</f>
        <v>0</v>
      </c>
      <c r="W220" s="155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49">
        <f>COUNTA(Spieltag!K208:AA208)</f>
        <v>0</v>
      </c>
      <c r="C221" s="165">
        <f>Spieltag!A208</f>
        <v>16</v>
      </c>
      <c r="D221" s="21" t="str">
        <f>Spieltag!B208</f>
        <v>Hugo Larsson (A)</v>
      </c>
      <c r="E221" s="150" t="str">
        <f>Spieltag!C208</f>
        <v>Mittelfeld</v>
      </c>
      <c r="F221" s="151" t="s">
        <v>103</v>
      </c>
      <c r="G221" s="152"/>
      <c r="H221" s="153">
        <f t="shared" si="675"/>
        <v>0</v>
      </c>
      <c r="I221" s="152"/>
      <c r="J221" s="153">
        <f t="shared" si="676"/>
        <v>0</v>
      </c>
      <c r="K221" s="152"/>
      <c r="L221" s="153">
        <f t="shared" si="677"/>
        <v>0</v>
      </c>
      <c r="M221" s="152"/>
      <c r="N221" s="153">
        <f t="shared" si="678"/>
        <v>0</v>
      </c>
      <c r="O221" s="154">
        <f t="shared" si="672"/>
        <v>10</v>
      </c>
      <c r="P221" s="154">
        <f t="shared" si="673"/>
        <v>30</v>
      </c>
      <c r="Q221" s="154">
        <f t="shared" si="674"/>
        <v>-30</v>
      </c>
      <c r="R221" s="152"/>
      <c r="S221" s="153">
        <f t="shared" si="679"/>
        <v>0</v>
      </c>
      <c r="T221" s="152"/>
      <c r="U221" s="153">
        <f t="shared" si="680"/>
        <v>0</v>
      </c>
      <c r="V221" s="154">
        <f t="shared" si="681"/>
        <v>0</v>
      </c>
      <c r="W221" s="155">
        <f t="shared" si="682"/>
        <v>0</v>
      </c>
    </row>
    <row r="222" spans="1:23" ht="10.5" hidden="1" customHeight="1" x14ac:dyDescent="0.2">
      <c r="A222" s="11"/>
      <c r="B222" s="149">
        <f>COUNTA(Spieltag!K209:AA209)</f>
        <v>0</v>
      </c>
      <c r="C222" s="165">
        <f>Spieltag!A209</f>
        <v>17</v>
      </c>
      <c r="D222" s="21" t="str">
        <f>Spieltag!B209</f>
        <v>Sebastian Rode</v>
      </c>
      <c r="E222" s="150" t="str">
        <f>Spieltag!C209</f>
        <v>Mittelfeld</v>
      </c>
      <c r="F222" s="151" t="s">
        <v>103</v>
      </c>
      <c r="G222" s="152"/>
      <c r="H222" s="153">
        <f t="shared" si="675"/>
        <v>0</v>
      </c>
      <c r="I222" s="152"/>
      <c r="J222" s="153">
        <f t="shared" si="676"/>
        <v>0</v>
      </c>
      <c r="K222" s="152"/>
      <c r="L222" s="153">
        <f t="shared" si="677"/>
        <v>0</v>
      </c>
      <c r="M222" s="152"/>
      <c r="N222" s="153">
        <f t="shared" si="678"/>
        <v>0</v>
      </c>
      <c r="O222" s="154">
        <f t="shared" si="672"/>
        <v>10</v>
      </c>
      <c r="P222" s="154">
        <f t="shared" si="673"/>
        <v>30</v>
      </c>
      <c r="Q222" s="154">
        <f t="shared" si="674"/>
        <v>-30</v>
      </c>
      <c r="R222" s="152"/>
      <c r="S222" s="153">
        <f t="shared" si="679"/>
        <v>0</v>
      </c>
      <c r="T222" s="152"/>
      <c r="U222" s="153">
        <f t="shared" si="680"/>
        <v>0</v>
      </c>
      <c r="V222" s="154">
        <f t="shared" si="681"/>
        <v>0</v>
      </c>
      <c r="W222" s="155">
        <f t="shared" si="682"/>
        <v>0</v>
      </c>
    </row>
    <row r="223" spans="1:23" ht="10.5" hidden="1" customHeight="1" x14ac:dyDescent="0.2">
      <c r="A223" s="11"/>
      <c r="B223" s="149">
        <f>COUNTA(Spieltag!K210:AA210)</f>
        <v>0</v>
      </c>
      <c r="C223" s="165">
        <f>Spieltag!A210</f>
        <v>22</v>
      </c>
      <c r="D223" s="21" t="str">
        <f>Spieltag!B210</f>
        <v>Timothy Chandler</v>
      </c>
      <c r="E223" s="150" t="str">
        <f>Spieltag!C210</f>
        <v>Mittelfeld</v>
      </c>
      <c r="F223" s="151" t="s">
        <v>103</v>
      </c>
      <c r="G223" s="152"/>
      <c r="H223" s="153">
        <f t="shared" si="675"/>
        <v>0</v>
      </c>
      <c r="I223" s="152"/>
      <c r="J223" s="153">
        <f t="shared" si="676"/>
        <v>0</v>
      </c>
      <c r="K223" s="152"/>
      <c r="L223" s="153">
        <f t="shared" si="677"/>
        <v>0</v>
      </c>
      <c r="M223" s="152"/>
      <c r="N223" s="153">
        <f t="shared" si="678"/>
        <v>0</v>
      </c>
      <c r="O223" s="154">
        <f t="shared" si="672"/>
        <v>10</v>
      </c>
      <c r="P223" s="154">
        <f t="shared" si="673"/>
        <v>30</v>
      </c>
      <c r="Q223" s="154">
        <f t="shared" si="674"/>
        <v>-30</v>
      </c>
      <c r="R223" s="152"/>
      <c r="S223" s="153">
        <f t="shared" si="679"/>
        <v>0</v>
      </c>
      <c r="T223" s="152"/>
      <c r="U223" s="153">
        <f t="shared" si="680"/>
        <v>0</v>
      </c>
      <c r="V223" s="154">
        <f t="shared" si="681"/>
        <v>0</v>
      </c>
      <c r="W223" s="155">
        <f t="shared" si="682"/>
        <v>0</v>
      </c>
    </row>
    <row r="224" spans="1:23" ht="10.5" hidden="1" customHeight="1" x14ac:dyDescent="0.2">
      <c r="A224" s="11"/>
      <c r="B224" s="149">
        <f>COUNTA(Spieltag!K211:AA211)</f>
        <v>0</v>
      </c>
      <c r="C224" s="165">
        <f>Spieltag!A211</f>
        <v>25</v>
      </c>
      <c r="D224" s="21" t="str">
        <f>Spieltag!B211</f>
        <v>Donny van de Beek (A)</v>
      </c>
      <c r="E224" s="150" t="str">
        <f>Spieltag!C211</f>
        <v>Mittelfeld</v>
      </c>
      <c r="F224" s="151" t="s">
        <v>103</v>
      </c>
      <c r="G224" s="152"/>
      <c r="H224" s="153">
        <f t="shared" ref="H224" si="683">IF(G224="x",10,0)</f>
        <v>0</v>
      </c>
      <c r="I224" s="152"/>
      <c r="J224" s="153">
        <f t="shared" ref="J224" si="684">IF((I224="x"),-10,0)</f>
        <v>0</v>
      </c>
      <c r="K224" s="152"/>
      <c r="L224" s="153">
        <f t="shared" ref="L224" si="685">IF((K224="x"),-20,0)</f>
        <v>0</v>
      </c>
      <c r="M224" s="152"/>
      <c r="N224" s="153">
        <f t="shared" ref="N224" si="686">IF((M224="x"),-30,0)</f>
        <v>0</v>
      </c>
      <c r="O224" s="154">
        <f t="shared" si="672"/>
        <v>10</v>
      </c>
      <c r="P224" s="154">
        <f t="shared" si="673"/>
        <v>30</v>
      </c>
      <c r="Q224" s="154">
        <f t="shared" si="674"/>
        <v>-30</v>
      </c>
      <c r="R224" s="152"/>
      <c r="S224" s="153">
        <f t="shared" ref="S224" si="687">R224*10</f>
        <v>0</v>
      </c>
      <c r="T224" s="152"/>
      <c r="U224" s="153">
        <f t="shared" ref="U224" si="688">T224*-15</f>
        <v>0</v>
      </c>
      <c r="V224" s="154">
        <f t="shared" ref="V224" si="689">IF(AND(R224=2),10,IF(R224=3,30,IF(R224=4,50,IF(R224=5,70,0))))</f>
        <v>0</v>
      </c>
      <c r="W224" s="155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49">
        <f>COUNTA(Spieltag!K212:AA212)</f>
        <v>0</v>
      </c>
      <c r="C225" s="165">
        <f>Spieltag!A212</f>
        <v>26</v>
      </c>
      <c r="D225" s="21" t="str">
        <f>Spieltag!B212</f>
        <v>Eric Junior Dina Ebimbe (A)</v>
      </c>
      <c r="E225" s="150" t="str">
        <f>Spieltag!C212</f>
        <v>Mittelfeld</v>
      </c>
      <c r="F225" s="151" t="s">
        <v>103</v>
      </c>
      <c r="G225" s="152"/>
      <c r="H225" s="153">
        <f t="shared" si="675"/>
        <v>0</v>
      </c>
      <c r="I225" s="152"/>
      <c r="J225" s="153">
        <f t="shared" si="676"/>
        <v>0</v>
      </c>
      <c r="K225" s="152"/>
      <c r="L225" s="153">
        <f t="shared" si="677"/>
        <v>0</v>
      </c>
      <c r="M225" s="152"/>
      <c r="N225" s="153">
        <f t="shared" si="678"/>
        <v>0</v>
      </c>
      <c r="O225" s="154">
        <f t="shared" si="672"/>
        <v>10</v>
      </c>
      <c r="P225" s="154">
        <f t="shared" si="673"/>
        <v>30</v>
      </c>
      <c r="Q225" s="154">
        <f t="shared" si="674"/>
        <v>-30</v>
      </c>
      <c r="R225" s="152"/>
      <c r="S225" s="153">
        <f t="shared" si="679"/>
        <v>0</v>
      </c>
      <c r="T225" s="152"/>
      <c r="U225" s="153">
        <f t="shared" si="680"/>
        <v>0</v>
      </c>
      <c r="V225" s="154">
        <f t="shared" si="681"/>
        <v>0</v>
      </c>
      <c r="W225" s="155">
        <f t="shared" si="682"/>
        <v>0</v>
      </c>
    </row>
    <row r="226" spans="1:23" ht="10.5" customHeight="1" x14ac:dyDescent="0.2">
      <c r="A226" s="11"/>
      <c r="B226" s="149">
        <f>COUNTA(Spieltag!K213:AA213)</f>
        <v>2</v>
      </c>
      <c r="C226" s="165">
        <f>Spieltag!A213</f>
        <v>27</v>
      </c>
      <c r="D226" s="21" t="str">
        <f>Spieltag!B213</f>
        <v>Mario Götze</v>
      </c>
      <c r="E226" s="150" t="str">
        <f>Spieltag!C213</f>
        <v>Mittelfeld</v>
      </c>
      <c r="F226" s="151" t="s">
        <v>103</v>
      </c>
      <c r="G226" s="152" t="s">
        <v>678</v>
      </c>
      <c r="H226" s="153">
        <f t="shared" si="675"/>
        <v>10</v>
      </c>
      <c r="I226" s="152"/>
      <c r="J226" s="153">
        <f t="shared" si="676"/>
        <v>0</v>
      </c>
      <c r="K226" s="152"/>
      <c r="L226" s="153">
        <f t="shared" si="677"/>
        <v>0</v>
      </c>
      <c r="M226" s="152"/>
      <c r="N226" s="153">
        <f t="shared" si="678"/>
        <v>0</v>
      </c>
      <c r="O226" s="154">
        <f t="shared" si="672"/>
        <v>10</v>
      </c>
      <c r="P226" s="154">
        <f t="shared" si="673"/>
        <v>30</v>
      </c>
      <c r="Q226" s="154">
        <f t="shared" si="674"/>
        <v>-30</v>
      </c>
      <c r="R226" s="152"/>
      <c r="S226" s="153">
        <f t="shared" si="679"/>
        <v>0</v>
      </c>
      <c r="T226" s="152"/>
      <c r="U226" s="153">
        <f t="shared" si="680"/>
        <v>0</v>
      </c>
      <c r="V226" s="154">
        <f t="shared" si="681"/>
        <v>0</v>
      </c>
      <c r="W226" s="155">
        <f t="shared" si="682"/>
        <v>20</v>
      </c>
    </row>
    <row r="227" spans="1:23" ht="10.5" hidden="1" customHeight="1" x14ac:dyDescent="0.2">
      <c r="A227" s="11"/>
      <c r="B227" s="149">
        <f>COUNTA(Spieltag!K214:AA214)</f>
        <v>0</v>
      </c>
      <c r="C227" s="165">
        <f>Spieltag!A214</f>
        <v>37</v>
      </c>
      <c r="D227" s="21" t="str">
        <f>Spieltag!B214</f>
        <v>Sidney Raebiger</v>
      </c>
      <c r="E227" s="150" t="str">
        <f>Spieltag!C214</f>
        <v>Mittelfeld</v>
      </c>
      <c r="F227" s="151" t="s">
        <v>103</v>
      </c>
      <c r="G227" s="152"/>
      <c r="H227" s="153">
        <f t="shared" ref="H227" si="691">IF(G227="x",10,0)</f>
        <v>0</v>
      </c>
      <c r="I227" s="152"/>
      <c r="J227" s="153">
        <f t="shared" ref="J227" si="692">IF((I227="x"),-10,0)</f>
        <v>0</v>
      </c>
      <c r="K227" s="152"/>
      <c r="L227" s="153">
        <f t="shared" ref="L227" si="693">IF((K227="x"),-20,0)</f>
        <v>0</v>
      </c>
      <c r="M227" s="152"/>
      <c r="N227" s="153">
        <f t="shared" ref="N227" si="694">IF((M227="x"),-30,0)</f>
        <v>0</v>
      </c>
      <c r="O227" s="154">
        <f t="shared" si="672"/>
        <v>10</v>
      </c>
      <c r="P227" s="154">
        <f t="shared" si="673"/>
        <v>30</v>
      </c>
      <c r="Q227" s="154">
        <f t="shared" si="674"/>
        <v>-30</v>
      </c>
      <c r="R227" s="152"/>
      <c r="S227" s="153">
        <f t="shared" ref="S227" si="695">R227*10</f>
        <v>0</v>
      </c>
      <c r="T227" s="152"/>
      <c r="U227" s="153">
        <f t="shared" ref="U227" si="696">T227*-15</f>
        <v>0</v>
      </c>
      <c r="V227" s="154">
        <f t="shared" ref="V227" si="697">IF(AND(R227=2),10,IF(R227=3,30,IF(R227=4,50,IF(R227=5,70,0))))</f>
        <v>0</v>
      </c>
      <c r="W227" s="155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5">
        <f>Spieltag!A215</f>
        <v>44</v>
      </c>
      <c r="D228" s="21" t="str">
        <f>Spieltag!B215</f>
        <v>Davis Bautista (A)</v>
      </c>
      <c r="E228" s="150" t="str">
        <f>Spieltag!C215</f>
        <v>Mittelfeld</v>
      </c>
      <c r="F228" s="151" t="s">
        <v>103</v>
      </c>
      <c r="G228" s="152"/>
      <c r="H228" s="153">
        <f t="shared" ref="H228:H229" si="699">IF(G228="x",10,0)</f>
        <v>0</v>
      </c>
      <c r="I228" s="152"/>
      <c r="J228" s="153">
        <f t="shared" ref="J228:J229" si="700">IF((I228="x"),-10,0)</f>
        <v>0</v>
      </c>
      <c r="K228" s="152"/>
      <c r="L228" s="153">
        <f t="shared" ref="L228:L229" si="701">IF((K228="x"),-20,0)</f>
        <v>0</v>
      </c>
      <c r="M228" s="152"/>
      <c r="N228" s="153">
        <f t="shared" ref="N228:N229" si="702">IF((M228="x"),-30,0)</f>
        <v>0</v>
      </c>
      <c r="O228" s="154">
        <f t="shared" si="672"/>
        <v>10</v>
      </c>
      <c r="P228" s="154">
        <f t="shared" si="673"/>
        <v>30</v>
      </c>
      <c r="Q228" s="154">
        <f t="shared" si="674"/>
        <v>-30</v>
      </c>
      <c r="R228" s="152"/>
      <c r="S228" s="153">
        <f t="shared" ref="S228:S229" si="703">R228*10</f>
        <v>0</v>
      </c>
      <c r="T228" s="152"/>
      <c r="U228" s="153">
        <f t="shared" ref="U228:U229" si="704">T228*-15</f>
        <v>0</v>
      </c>
      <c r="V228" s="154">
        <f t="shared" ref="V228:V229" si="705">IF(AND(R228=2),10,IF(R228=3,30,IF(R228=4,50,IF(R228=5,70,0))))</f>
        <v>0</v>
      </c>
      <c r="W228" s="155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5">
        <f>Spieltag!A216</f>
        <v>45</v>
      </c>
      <c r="D229" s="21" t="str">
        <f>Spieltag!B216</f>
        <v>Mehdi Loune</v>
      </c>
      <c r="E229" s="150" t="str">
        <f>Spieltag!C216</f>
        <v>Mittelfeld</v>
      </c>
      <c r="F229" s="151" t="s">
        <v>103</v>
      </c>
      <c r="G229" s="152"/>
      <c r="H229" s="153">
        <f t="shared" si="699"/>
        <v>0</v>
      </c>
      <c r="I229" s="152"/>
      <c r="J229" s="153">
        <f t="shared" si="700"/>
        <v>0</v>
      </c>
      <c r="K229" s="152"/>
      <c r="L229" s="153">
        <f t="shared" si="701"/>
        <v>0</v>
      </c>
      <c r="M229" s="152"/>
      <c r="N229" s="153">
        <f t="shared" si="702"/>
        <v>0</v>
      </c>
      <c r="O229" s="154">
        <f t="shared" si="672"/>
        <v>10</v>
      </c>
      <c r="P229" s="154">
        <f t="shared" si="673"/>
        <v>30</v>
      </c>
      <c r="Q229" s="154">
        <f t="shared" si="674"/>
        <v>-30</v>
      </c>
      <c r="R229" s="152"/>
      <c r="S229" s="153">
        <f t="shared" si="703"/>
        <v>0</v>
      </c>
      <c r="T229" s="152"/>
      <c r="U229" s="153">
        <f t="shared" si="704"/>
        <v>0</v>
      </c>
      <c r="V229" s="154">
        <f t="shared" si="705"/>
        <v>0</v>
      </c>
      <c r="W229" s="155">
        <f t="shared" si="706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5">
        <f>Spieltag!A217</f>
        <v>49</v>
      </c>
      <c r="D230" s="21" t="str">
        <f>Spieltag!B217</f>
        <v>Harpreet Ghotra</v>
      </c>
      <c r="E230" s="150" t="str">
        <f>Spieltag!C217</f>
        <v>Mittelfeld</v>
      </c>
      <c r="F230" s="151" t="s">
        <v>103</v>
      </c>
      <c r="G230" s="152"/>
      <c r="H230" s="153">
        <f t="shared" ref="H230" si="707">IF(G230="x",10,0)</f>
        <v>0</v>
      </c>
      <c r="I230" s="152"/>
      <c r="J230" s="153">
        <f t="shared" ref="J230" si="708">IF((I230="x"),-10,0)</f>
        <v>0</v>
      </c>
      <c r="K230" s="152"/>
      <c r="L230" s="153">
        <f t="shared" ref="L230" si="709">IF((K230="x"),-20,0)</f>
        <v>0</v>
      </c>
      <c r="M230" s="152"/>
      <c r="N230" s="153">
        <f t="shared" ref="N230" si="710">IF((M230="x"),-30,0)</f>
        <v>0</v>
      </c>
      <c r="O230" s="154">
        <f t="shared" si="672"/>
        <v>10</v>
      </c>
      <c r="P230" s="154">
        <f t="shared" si="673"/>
        <v>30</v>
      </c>
      <c r="Q230" s="154">
        <f t="shared" si="674"/>
        <v>-30</v>
      </c>
      <c r="R230" s="152"/>
      <c r="S230" s="153">
        <f t="shared" ref="S230" si="711">R230*10</f>
        <v>0</v>
      </c>
      <c r="T230" s="152"/>
      <c r="U230" s="153">
        <f t="shared" ref="U230" si="712">T230*-15</f>
        <v>0</v>
      </c>
      <c r="V230" s="154">
        <f t="shared" ref="V230" si="713">IF(AND(R230=2),10,IF(R230=3,30,IF(R230=4,50,IF(R230=5,70,0))))</f>
        <v>0</v>
      </c>
      <c r="W230" s="155">
        <f t="shared" ref="W230" si="714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5">
        <f>Spieltag!A218</f>
        <v>7</v>
      </c>
      <c r="D231" s="21" t="str">
        <f>Spieltag!B218</f>
        <v>Omar Marmoush (A)</v>
      </c>
      <c r="E231" s="150" t="str">
        <f>Spieltag!C218</f>
        <v>Sturm</v>
      </c>
      <c r="F231" s="151" t="s">
        <v>103</v>
      </c>
      <c r="G231" s="152"/>
      <c r="H231" s="153">
        <f t="shared" ref="H231:H232" si="715">IF(G231="x",10,0)</f>
        <v>0</v>
      </c>
      <c r="I231" s="152"/>
      <c r="J231" s="153">
        <f t="shared" ref="J231:J232" si="716">IF((I231="x"),-10,0)</f>
        <v>0</v>
      </c>
      <c r="K231" s="152"/>
      <c r="L231" s="153">
        <f t="shared" ref="L231:L232" si="717">IF((K231="x"),-20,0)</f>
        <v>0</v>
      </c>
      <c r="M231" s="152"/>
      <c r="N231" s="153">
        <f t="shared" ref="N231:N232" si="718">IF((M231="x"),-30,0)</f>
        <v>0</v>
      </c>
      <c r="O231" s="154">
        <f t="shared" ref="O231:O237" si="719">IF(AND($V$9&gt;$W$9),20,IF($V$9=$W$9,10,0))</f>
        <v>10</v>
      </c>
      <c r="P231" s="154">
        <f t="shared" ref="P231:P237" si="720">IF(($V$9&lt;&gt;0),$V$9*10,-5)</f>
        <v>30</v>
      </c>
      <c r="Q231" s="154">
        <f t="shared" ref="Q231:Q237" si="721">IF(($W$9&lt;&gt;0),$W$9*-10,5)</f>
        <v>-30</v>
      </c>
      <c r="R231" s="152"/>
      <c r="S231" s="153">
        <f t="shared" ref="S231:S232" si="722">R231*10</f>
        <v>0</v>
      </c>
      <c r="T231" s="152"/>
      <c r="U231" s="153">
        <f t="shared" ref="U231:U232" si="723">T231*-15</f>
        <v>0</v>
      </c>
      <c r="V231" s="154">
        <f t="shared" ref="V231:V232" si="724">IF(AND(R231=2),10,IF(R231=3,30,IF(R231=4,50,IF(R231=5,70,0))))</f>
        <v>0</v>
      </c>
      <c r="W231" s="155">
        <f t="shared" ref="W231:W232" si="725">IF(G231="x",H231+J231+L231+N231+O231+P231+Q231+S231+U231+V231,0)</f>
        <v>0</v>
      </c>
    </row>
    <row r="232" spans="1:23" ht="10.5" customHeight="1" x14ac:dyDescent="0.2">
      <c r="A232" s="11"/>
      <c r="B232" s="149">
        <f>COUNTA(Spieltag!K219:AA219)</f>
        <v>3</v>
      </c>
      <c r="C232" s="165">
        <f>Spieltag!A219</f>
        <v>9</v>
      </c>
      <c r="D232" s="21" t="str">
        <f>Spieltag!B219</f>
        <v>Saša Kalajdžić (A)</v>
      </c>
      <c r="E232" s="150" t="str">
        <f>Spieltag!C219</f>
        <v>Sturm</v>
      </c>
      <c r="F232" s="151" t="s">
        <v>103</v>
      </c>
      <c r="G232" s="152" t="s">
        <v>678</v>
      </c>
      <c r="H232" s="153">
        <f t="shared" si="715"/>
        <v>10</v>
      </c>
      <c r="I232" s="152"/>
      <c r="J232" s="153">
        <f t="shared" si="716"/>
        <v>0</v>
      </c>
      <c r="K232" s="152"/>
      <c r="L232" s="153">
        <f t="shared" si="717"/>
        <v>0</v>
      </c>
      <c r="M232" s="152"/>
      <c r="N232" s="153">
        <f t="shared" si="718"/>
        <v>0</v>
      </c>
      <c r="O232" s="154">
        <f t="shared" si="719"/>
        <v>10</v>
      </c>
      <c r="P232" s="154">
        <f t="shared" si="720"/>
        <v>30</v>
      </c>
      <c r="Q232" s="154">
        <f t="shared" si="721"/>
        <v>-30</v>
      </c>
      <c r="R232" s="152"/>
      <c r="S232" s="153">
        <f t="shared" si="722"/>
        <v>0</v>
      </c>
      <c r="T232" s="152"/>
      <c r="U232" s="153">
        <f t="shared" si="723"/>
        <v>0</v>
      </c>
      <c r="V232" s="154">
        <f t="shared" si="724"/>
        <v>0</v>
      </c>
      <c r="W232" s="155">
        <f t="shared" si="725"/>
        <v>20</v>
      </c>
    </row>
    <row r="233" spans="1:23" ht="10.5" hidden="1" customHeight="1" x14ac:dyDescent="0.2">
      <c r="A233" s="11"/>
      <c r="B233" s="149">
        <f>COUNTA(Spieltag!K220:AA220)</f>
        <v>0</v>
      </c>
      <c r="C233" s="165">
        <f>Spieltag!A220</f>
        <v>11</v>
      </c>
      <c r="D233" s="21" t="str">
        <f>Spieltag!B220</f>
        <v>Hugo Ekitike (A)</v>
      </c>
      <c r="E233" s="150" t="str">
        <f>Spieltag!C220</f>
        <v>Sturm</v>
      </c>
      <c r="F233" s="151" t="s">
        <v>103</v>
      </c>
      <c r="G233" s="152"/>
      <c r="H233" s="153">
        <f t="shared" ref="H233" si="726">IF(G233="x",10,0)</f>
        <v>0</v>
      </c>
      <c r="I233" s="152"/>
      <c r="J233" s="153">
        <f t="shared" ref="J233" si="727">IF((I233="x"),-10,0)</f>
        <v>0</v>
      </c>
      <c r="K233" s="152"/>
      <c r="L233" s="153">
        <f t="shared" ref="L233" si="728">IF((K233="x"),-20,0)</f>
        <v>0</v>
      </c>
      <c r="M233" s="152"/>
      <c r="N233" s="153">
        <f t="shared" ref="N233" si="729">IF((M233="x"),-30,0)</f>
        <v>0</v>
      </c>
      <c r="O233" s="154">
        <f t="shared" si="719"/>
        <v>10</v>
      </c>
      <c r="P233" s="154">
        <f t="shared" si="720"/>
        <v>30</v>
      </c>
      <c r="Q233" s="154">
        <f t="shared" si="721"/>
        <v>-30</v>
      </c>
      <c r="R233" s="152"/>
      <c r="S233" s="153">
        <f t="shared" ref="S233" si="730">R233*10</f>
        <v>0</v>
      </c>
      <c r="T233" s="152"/>
      <c r="U233" s="153">
        <f t="shared" ref="U233" si="731">T233*-15</f>
        <v>0</v>
      </c>
      <c r="V233" s="154">
        <f t="shared" ref="V233" si="732">IF(AND(R233=2),10,IF(R233=3,30,IF(R233=4,50,IF(R233=5,70,0))))</f>
        <v>0</v>
      </c>
      <c r="W233" s="155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5">
        <f>Spieltag!A221</f>
        <v>19</v>
      </c>
      <c r="D234" s="21" t="str">
        <f>Spieltag!B221</f>
        <v>Jean-Matteo Bahoya (A)</v>
      </c>
      <c r="E234" s="150" t="str">
        <f>Spieltag!C221</f>
        <v>Sturm</v>
      </c>
      <c r="F234" s="151" t="s">
        <v>103</v>
      </c>
      <c r="G234" s="152"/>
      <c r="H234" s="153">
        <f t="shared" ref="H234" si="734">IF(G234="x",10,0)</f>
        <v>0</v>
      </c>
      <c r="I234" s="152"/>
      <c r="J234" s="153">
        <f t="shared" ref="J234" si="735">IF((I234="x"),-10,0)</f>
        <v>0</v>
      </c>
      <c r="K234" s="152"/>
      <c r="L234" s="153">
        <f t="shared" ref="L234" si="736">IF((K234="x"),-20,0)</f>
        <v>0</v>
      </c>
      <c r="M234" s="152"/>
      <c r="N234" s="153">
        <f t="shared" ref="N234" si="737">IF((M234="x"),-30,0)</f>
        <v>0</v>
      </c>
      <c r="O234" s="154">
        <f t="shared" si="719"/>
        <v>10</v>
      </c>
      <c r="P234" s="154">
        <f t="shared" si="720"/>
        <v>30</v>
      </c>
      <c r="Q234" s="154">
        <f t="shared" si="721"/>
        <v>-30</v>
      </c>
      <c r="R234" s="152"/>
      <c r="S234" s="153">
        <f t="shared" ref="S234" si="738">R234*10</f>
        <v>0</v>
      </c>
      <c r="T234" s="152"/>
      <c r="U234" s="153">
        <f t="shared" ref="U234" si="739">T234*-15</f>
        <v>0</v>
      </c>
      <c r="V234" s="154">
        <f t="shared" ref="V234" si="740">IF(AND(R234=2),10,IF(R234=3,30,IF(R234=4,50,IF(R234=5,70,0))))</f>
        <v>0</v>
      </c>
      <c r="W234" s="155">
        <f t="shared" ref="W234" si="741">IF(G234="x",H234+J234+L234+N234+O234+P234+Q234+S234+U234+V234,0)</f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5">
        <f>Spieltag!A222</f>
        <v>36</v>
      </c>
      <c r="D235" s="21" t="str">
        <f>Spieltag!B222</f>
        <v>Ansgar Knauff</v>
      </c>
      <c r="E235" s="150" t="str">
        <f>Spieltag!C222</f>
        <v>Sturm</v>
      </c>
      <c r="F235" s="151" t="s">
        <v>103</v>
      </c>
      <c r="G235" s="152"/>
      <c r="H235" s="153">
        <f t="shared" ref="H235:H237" si="742">IF(G235="x",10,0)</f>
        <v>0</v>
      </c>
      <c r="I235" s="152"/>
      <c r="J235" s="153">
        <f t="shared" ref="J235:J237" si="743">IF((I235="x"),-10,0)</f>
        <v>0</v>
      </c>
      <c r="K235" s="152"/>
      <c r="L235" s="153">
        <f t="shared" ref="L235:L237" si="744">IF((K235="x"),-20,0)</f>
        <v>0</v>
      </c>
      <c r="M235" s="152"/>
      <c r="N235" s="153">
        <f t="shared" ref="N235:N237" si="745">IF((M235="x"),-30,0)</f>
        <v>0</v>
      </c>
      <c r="O235" s="154">
        <f t="shared" si="719"/>
        <v>10</v>
      </c>
      <c r="P235" s="154">
        <f t="shared" si="720"/>
        <v>30</v>
      </c>
      <c r="Q235" s="154">
        <f t="shared" si="721"/>
        <v>-30</v>
      </c>
      <c r="R235" s="152"/>
      <c r="S235" s="153">
        <f t="shared" ref="S235:S237" si="746">R235*10</f>
        <v>0</v>
      </c>
      <c r="T235" s="152"/>
      <c r="U235" s="153">
        <f t="shared" ref="U235:U237" si="747">T235*-15</f>
        <v>0</v>
      </c>
      <c r="V235" s="154">
        <f t="shared" ref="V235:V237" si="748">IF(AND(R235=2),10,IF(R235=3,30,IF(R235=4,50,IF(R235=5,70,0))))</f>
        <v>0</v>
      </c>
      <c r="W235" s="155">
        <f t="shared" ref="W235:W237" si="749">IF(G235="x",H235+J235+L235+N235+O235+P235+Q235+S235+U235+V235,0)</f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5">
        <f>Spieltag!A223</f>
        <v>43</v>
      </c>
      <c r="D236" s="21" t="str">
        <f>Spieltag!B223</f>
        <v>Noel Futkeu</v>
      </c>
      <c r="E236" s="150" t="str">
        <f>Spieltag!C223</f>
        <v>Sturm</v>
      </c>
      <c r="F236" s="151" t="s">
        <v>103</v>
      </c>
      <c r="G236" s="152"/>
      <c r="H236" s="153">
        <f t="shared" ref="H236" si="750">IF(G236="x",10,0)</f>
        <v>0</v>
      </c>
      <c r="I236" s="152"/>
      <c r="J236" s="153">
        <f t="shared" ref="J236" si="751">IF((I236="x"),-10,0)</f>
        <v>0</v>
      </c>
      <c r="K236" s="152"/>
      <c r="L236" s="153">
        <f t="shared" ref="L236" si="752">IF((K236="x"),-20,0)</f>
        <v>0</v>
      </c>
      <c r="M236" s="152"/>
      <c r="N236" s="153">
        <f t="shared" ref="N236" si="753">IF((M236="x"),-30,0)</f>
        <v>0</v>
      </c>
      <c r="O236" s="154">
        <f t="shared" si="719"/>
        <v>10</v>
      </c>
      <c r="P236" s="154">
        <f t="shared" si="720"/>
        <v>30</v>
      </c>
      <c r="Q236" s="154">
        <f t="shared" si="721"/>
        <v>-30</v>
      </c>
      <c r="R236" s="152"/>
      <c r="S236" s="153">
        <f t="shared" ref="S236" si="754">R236*10</f>
        <v>0</v>
      </c>
      <c r="T236" s="152"/>
      <c r="U236" s="153">
        <f t="shared" ref="U236" si="755">T236*-15</f>
        <v>0</v>
      </c>
      <c r="V236" s="154">
        <f t="shared" ref="V236" si="756">IF(AND(R236=2),10,IF(R236=3,30,IF(R236=4,50,IF(R236=5,70,0))))</f>
        <v>0</v>
      </c>
      <c r="W236" s="155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5">
        <f>Spieltag!A224</f>
        <v>48</v>
      </c>
      <c r="D237" s="21" t="str">
        <f>Spieltag!B224</f>
        <v>Nacho Ferri (A)</v>
      </c>
      <c r="E237" s="150" t="str">
        <f>Spieltag!C224</f>
        <v>Sturm</v>
      </c>
      <c r="F237" s="151" t="s">
        <v>103</v>
      </c>
      <c r="G237" s="152"/>
      <c r="H237" s="153">
        <f t="shared" si="742"/>
        <v>0</v>
      </c>
      <c r="I237" s="152"/>
      <c r="J237" s="153">
        <f t="shared" si="743"/>
        <v>0</v>
      </c>
      <c r="K237" s="152"/>
      <c r="L237" s="153">
        <f t="shared" si="744"/>
        <v>0</v>
      </c>
      <c r="M237" s="152"/>
      <c r="N237" s="153">
        <f t="shared" si="745"/>
        <v>0</v>
      </c>
      <c r="O237" s="154">
        <f t="shared" si="719"/>
        <v>10</v>
      </c>
      <c r="P237" s="154">
        <f t="shared" si="720"/>
        <v>30</v>
      </c>
      <c r="Q237" s="154">
        <f t="shared" si="721"/>
        <v>-30</v>
      </c>
      <c r="R237" s="152"/>
      <c r="S237" s="153">
        <f t="shared" si="746"/>
        <v>0</v>
      </c>
      <c r="T237" s="152"/>
      <c r="U237" s="153">
        <f t="shared" si="747"/>
        <v>0</v>
      </c>
      <c r="V237" s="154">
        <f t="shared" si="748"/>
        <v>0</v>
      </c>
      <c r="W237" s="155">
        <f t="shared" si="749"/>
        <v>0</v>
      </c>
    </row>
    <row r="238" spans="1:23" s="143" customFormat="1" ht="17.25" hidden="1" thickBot="1" x14ac:dyDescent="0.25">
      <c r="A238" s="141"/>
      <c r="B238" s="142">
        <f>SUM(B239:B265)</f>
        <v>0</v>
      </c>
      <c r="C238" s="157"/>
      <c r="D238" s="220" t="s">
        <v>31</v>
      </c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1"/>
    </row>
    <row r="239" spans="1:23" ht="10.5" hidden="1" customHeight="1" x14ac:dyDescent="0.2">
      <c r="A239" s="11"/>
      <c r="B239" s="148">
        <f>COUNTA(Spieltag!K226:AA226)</f>
        <v>0</v>
      </c>
      <c r="C239" s="165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10</v>
      </c>
      <c r="P239" s="16">
        <f t="shared" ref="P239:P259" si="759">IF(($P$11&lt;&gt;0),$P$11*10,-5)</f>
        <v>10</v>
      </c>
      <c r="Q239" s="16">
        <f>IF(($Q$11&lt;&gt;0),$Q$11*-10,20)</f>
        <v>-10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8">
        <f>COUNTA(Spieltag!K227:AA227)</f>
        <v>0</v>
      </c>
      <c r="C240" s="165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10</v>
      </c>
      <c r="P240" s="16">
        <f t="shared" si="759"/>
        <v>10</v>
      </c>
      <c r="Q240" s="16">
        <f t="shared" ref="Q240:Q241" si="764">IF(($Q$11&lt;&gt;0),$Q$11*-10,20)</f>
        <v>-10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8">
        <f>COUNTA(Spieltag!K228:AA228)</f>
        <v>0</v>
      </c>
      <c r="C241" s="165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10</v>
      </c>
      <c r="P241" s="16">
        <f t="shared" si="759"/>
        <v>10</v>
      </c>
      <c r="Q241" s="16">
        <f t="shared" si="764"/>
        <v>-10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8">
        <f>COUNTA(Spieltag!K229:AA229)</f>
        <v>0</v>
      </c>
      <c r="C242" s="165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10</v>
      </c>
      <c r="P242" s="16">
        <f t="shared" si="759"/>
        <v>10</v>
      </c>
      <c r="Q242" s="16">
        <f t="shared" ref="Q242:Q248" si="773">IF(($Q$11&lt;&gt;0),$Q$11*-10,15)</f>
        <v>-10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8">
        <f>COUNTA(Spieltag!K230:AA230)</f>
        <v>0</v>
      </c>
      <c r="C243" s="165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10</v>
      </c>
      <c r="P243" s="16">
        <f t="shared" si="759"/>
        <v>10</v>
      </c>
      <c r="Q243" s="16">
        <f t="shared" si="773"/>
        <v>-10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8">
        <f>COUNTA(Spieltag!K231:AA231)</f>
        <v>0</v>
      </c>
      <c r="C244" s="165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10</v>
      </c>
      <c r="P244" s="16">
        <f t="shared" si="759"/>
        <v>10</v>
      </c>
      <c r="Q244" s="16">
        <f t="shared" si="773"/>
        <v>-10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8">
        <f>COUNTA(Spieltag!K232:AA232)</f>
        <v>0</v>
      </c>
      <c r="C245" s="165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10</v>
      </c>
      <c r="P245" s="16">
        <f t="shared" si="759"/>
        <v>10</v>
      </c>
      <c r="Q245" s="16">
        <f t="shared" si="773"/>
        <v>-10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8">
        <f>COUNTA(Spieltag!K233:AA233)</f>
        <v>0</v>
      </c>
      <c r="C246" s="165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10</v>
      </c>
      <c r="P246" s="16">
        <f t="shared" si="759"/>
        <v>10</v>
      </c>
      <c r="Q246" s="16">
        <f t="shared" si="773"/>
        <v>-10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8">
        <f>COUNTA(Spieltag!K234:AA234)</f>
        <v>0</v>
      </c>
      <c r="C247" s="165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10</v>
      </c>
      <c r="P247" s="16">
        <f t="shared" si="759"/>
        <v>10</v>
      </c>
      <c r="Q247" s="16">
        <f t="shared" si="773"/>
        <v>-10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8">
        <f>COUNTA(Spieltag!K235:AA235)</f>
        <v>0</v>
      </c>
      <c r="C248" s="165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10</v>
      </c>
      <c r="P248" s="16">
        <f t="shared" si="759"/>
        <v>10</v>
      </c>
      <c r="Q248" s="16">
        <f t="shared" si="773"/>
        <v>-10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8">
        <f>COUNTA(Spieltag!K236:AA236)</f>
        <v>0</v>
      </c>
      <c r="C249" s="165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10</v>
      </c>
      <c r="P249" s="16">
        <f t="shared" si="759"/>
        <v>10</v>
      </c>
      <c r="Q249" s="16">
        <f t="shared" ref="Q249:Q259" si="798">IF(($Q$11&lt;&gt;0),$Q$11*-10,10)</f>
        <v>-10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8">
        <f>COUNTA(Spieltag!K237:AA237)</f>
        <v>0</v>
      </c>
      <c r="C250" s="165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10</v>
      </c>
      <c r="P250" s="16">
        <f t="shared" si="759"/>
        <v>10</v>
      </c>
      <c r="Q250" s="16">
        <f t="shared" si="798"/>
        <v>-10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8">
        <f>COUNTA(Spieltag!K238:AA238)</f>
        <v>0</v>
      </c>
      <c r="C251" s="165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10</v>
      </c>
      <c r="P251" s="16">
        <f t="shared" si="759"/>
        <v>10</v>
      </c>
      <c r="Q251" s="16">
        <f t="shared" si="798"/>
        <v>-10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8">
        <f>COUNTA(Spieltag!K239:AA239)</f>
        <v>0</v>
      </c>
      <c r="C252" s="165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10</v>
      </c>
      <c r="P252" s="16">
        <f t="shared" si="759"/>
        <v>10</v>
      </c>
      <c r="Q252" s="16">
        <f t="shared" si="798"/>
        <v>-10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8">
        <f>COUNTA(Spieltag!K240:AA240)</f>
        <v>0</v>
      </c>
      <c r="C253" s="165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10</v>
      </c>
      <c r="P253" s="16">
        <f t="shared" si="759"/>
        <v>10</v>
      </c>
      <c r="Q253" s="16">
        <f t="shared" si="798"/>
        <v>-10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8">
        <f>COUNTA(Spieltag!K241:AA241)</f>
        <v>0</v>
      </c>
      <c r="C254" s="165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10</v>
      </c>
      <c r="P254" s="16">
        <f t="shared" si="759"/>
        <v>10</v>
      </c>
      <c r="Q254" s="16">
        <f t="shared" si="798"/>
        <v>-10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8">
        <f>COUNTA(Spieltag!K242:AA242)</f>
        <v>0</v>
      </c>
      <c r="C255" s="165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10</v>
      </c>
      <c r="P255" s="16">
        <f t="shared" si="759"/>
        <v>10</v>
      </c>
      <c r="Q255" s="16">
        <f t="shared" si="798"/>
        <v>-10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8">
        <f>COUNTA(Spieltag!K243:AA243)</f>
        <v>0</v>
      </c>
      <c r="C256" s="165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10</v>
      </c>
      <c r="P256" s="16">
        <f t="shared" si="759"/>
        <v>10</v>
      </c>
      <c r="Q256" s="16">
        <f t="shared" si="798"/>
        <v>-10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8">
        <f>COUNTA(Spieltag!K244:AA244)</f>
        <v>0</v>
      </c>
      <c r="C257" s="165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10</v>
      </c>
      <c r="P257" s="16">
        <f t="shared" si="759"/>
        <v>10</v>
      </c>
      <c r="Q257" s="16">
        <f t="shared" si="798"/>
        <v>-10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8">
        <f>COUNTA(Spieltag!K245:AA245)</f>
        <v>0</v>
      </c>
      <c r="C258" s="165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10</v>
      </c>
      <c r="P258" s="16">
        <f t="shared" si="759"/>
        <v>10</v>
      </c>
      <c r="Q258" s="16">
        <f t="shared" si="798"/>
        <v>-10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8">
        <f>COUNTA(Spieltag!K246:AA246)</f>
        <v>0</v>
      </c>
      <c r="C259" s="165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10</v>
      </c>
      <c r="P259" s="16">
        <f t="shared" si="759"/>
        <v>10</v>
      </c>
      <c r="Q259" s="16">
        <f t="shared" si="798"/>
        <v>-10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8">
        <f>COUNTA(Spieltag!K247:AA247)</f>
        <v>0</v>
      </c>
      <c r="C260" s="165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10</v>
      </c>
      <c r="P260" s="16">
        <f t="shared" ref="P260:P265" si="828">IF(($P$11&lt;&gt;0),$P$11*10,-5)</f>
        <v>10</v>
      </c>
      <c r="Q260" s="16">
        <f t="shared" ref="Q260:Q265" si="829">IF(($Q$11&lt;&gt;0),$Q$11*-10,5)</f>
        <v>-10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8">
        <f>COUNTA(Spieltag!K248:AA248)</f>
        <v>0</v>
      </c>
      <c r="C261" s="165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10</v>
      </c>
      <c r="P261" s="16">
        <f t="shared" si="828"/>
        <v>10</v>
      </c>
      <c r="Q261" s="16">
        <f t="shared" si="829"/>
        <v>-10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8">
        <f>COUNTA(Spieltag!K249:AA249)</f>
        <v>0</v>
      </c>
      <c r="C262" s="165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10</v>
      </c>
      <c r="P262" s="16">
        <f t="shared" si="828"/>
        <v>10</v>
      </c>
      <c r="Q262" s="16">
        <f t="shared" si="829"/>
        <v>-10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8">
        <f>COUNTA(Spieltag!K250:AA250)</f>
        <v>0</v>
      </c>
      <c r="C263" s="165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10</v>
      </c>
      <c r="P263" s="16">
        <f t="shared" si="828"/>
        <v>10</v>
      </c>
      <c r="Q263" s="16">
        <f t="shared" si="829"/>
        <v>-10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8">
        <f>COUNTA(Spieltag!K251:AA251)</f>
        <v>0</v>
      </c>
      <c r="C264" s="165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10</v>
      </c>
      <c r="P264" s="16">
        <f t="shared" si="828"/>
        <v>10</v>
      </c>
      <c r="Q264" s="16">
        <f t="shared" si="829"/>
        <v>-10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8">
        <f>COUNTA(Spieltag!K252:AA252)</f>
        <v>0</v>
      </c>
      <c r="C265" s="165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10</v>
      </c>
      <c r="P265" s="16">
        <f t="shared" si="828"/>
        <v>10</v>
      </c>
      <c r="Q265" s="16">
        <f t="shared" si="829"/>
        <v>-10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3" customFormat="1" ht="17.25" hidden="1" thickBot="1" x14ac:dyDescent="0.25">
      <c r="A266" s="141"/>
      <c r="B266" s="142">
        <f>SUM(B267:B296)</f>
        <v>0</v>
      </c>
      <c r="C266" s="157"/>
      <c r="D266" s="220" t="s">
        <v>120</v>
      </c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1"/>
    </row>
    <row r="267" spans="1:23" ht="10.5" hidden="1" customHeight="1" x14ac:dyDescent="0.2">
      <c r="A267" s="11"/>
      <c r="B267" s="148">
        <f>COUNTA(Spieltag!K254:AA254)</f>
        <v>0</v>
      </c>
      <c r="C267" s="165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20</v>
      </c>
      <c r="P267" s="16">
        <f t="shared" ref="P267:P296" si="859">IF(($V$10&lt;&gt;0),$V$10*10,-5)</f>
        <v>10</v>
      </c>
      <c r="Q267" s="16">
        <f t="shared" ref="Q267:Q269" si="860">IF(($W$10&lt;&gt;0),$W$10*-10,20)</f>
        <v>20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8">
        <f>COUNTA(Spieltag!K255:AA255)</f>
        <v>0</v>
      </c>
      <c r="C268" s="165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20</v>
      </c>
      <c r="P268" s="16">
        <f t="shared" si="859"/>
        <v>10</v>
      </c>
      <c r="Q268" s="16">
        <f t="shared" si="860"/>
        <v>20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8">
        <f>COUNTA(Spieltag!K256:AA256)</f>
        <v>0</v>
      </c>
      <c r="C269" s="165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20</v>
      </c>
      <c r="P269" s="16">
        <f t="shared" si="859"/>
        <v>10</v>
      </c>
      <c r="Q269" s="16">
        <f t="shared" si="860"/>
        <v>20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8">
        <f>COUNTA(Spieltag!K257:AA257)</f>
        <v>0</v>
      </c>
      <c r="C270" s="165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20</v>
      </c>
      <c r="P270" s="16">
        <f t="shared" si="859"/>
        <v>10</v>
      </c>
      <c r="Q270" s="16">
        <f t="shared" ref="Q270:Q279" si="873">IF(($W$10&lt;&gt;0),$W$10*-10,15)</f>
        <v>15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8">
        <f>COUNTA(Spieltag!K258:AA258)</f>
        <v>0</v>
      </c>
      <c r="C271" s="165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20</v>
      </c>
      <c r="P271" s="16">
        <f t="shared" si="859"/>
        <v>10</v>
      </c>
      <c r="Q271" s="16">
        <f t="shared" si="873"/>
        <v>15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8">
        <f>COUNTA(Spieltag!K259:AA259)</f>
        <v>0</v>
      </c>
      <c r="C272" s="165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20</v>
      </c>
      <c r="P272" s="16">
        <f t="shared" si="859"/>
        <v>10</v>
      </c>
      <c r="Q272" s="16">
        <f t="shared" si="873"/>
        <v>15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8">
        <f>COUNTA(Spieltag!K260:AA260)</f>
        <v>0</v>
      </c>
      <c r="C273" s="165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20</v>
      </c>
      <c r="P273" s="16">
        <f t="shared" si="859"/>
        <v>10</v>
      </c>
      <c r="Q273" s="16">
        <f t="shared" si="873"/>
        <v>15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8">
        <f>COUNTA(Spieltag!K261:AA261)</f>
        <v>0</v>
      </c>
      <c r="C274" s="165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20</v>
      </c>
      <c r="P274" s="16">
        <f t="shared" si="859"/>
        <v>10</v>
      </c>
      <c r="Q274" s="16">
        <f t="shared" si="873"/>
        <v>15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8">
        <f>COUNTA(Spieltag!K262:AA262)</f>
        <v>0</v>
      </c>
      <c r="C275" s="165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20</v>
      </c>
      <c r="P275" s="16">
        <f t="shared" si="859"/>
        <v>10</v>
      </c>
      <c r="Q275" s="16">
        <f t="shared" si="873"/>
        <v>15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8">
        <f>COUNTA(Spieltag!K263:AA263)</f>
        <v>0</v>
      </c>
      <c r="C276" s="165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20</v>
      </c>
      <c r="P276" s="16">
        <f t="shared" si="859"/>
        <v>10</v>
      </c>
      <c r="Q276" s="16">
        <f t="shared" si="873"/>
        <v>15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8">
        <f>COUNTA(Spieltag!K264:AA264)</f>
        <v>0</v>
      </c>
      <c r="C277" s="165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20</v>
      </c>
      <c r="P277" s="16">
        <f t="shared" si="859"/>
        <v>10</v>
      </c>
      <c r="Q277" s="16">
        <f t="shared" si="873"/>
        <v>15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8">
        <f>COUNTA(Spieltag!K265:AA265)</f>
        <v>0</v>
      </c>
      <c r="C278" s="165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20</v>
      </c>
      <c r="P278" s="16">
        <f t="shared" si="859"/>
        <v>10</v>
      </c>
      <c r="Q278" s="16">
        <f t="shared" si="873"/>
        <v>15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8">
        <f>COUNTA(Spieltag!K266:AA266)</f>
        <v>0</v>
      </c>
      <c r="C279" s="165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20</v>
      </c>
      <c r="P279" s="16">
        <f t="shared" si="859"/>
        <v>10</v>
      </c>
      <c r="Q279" s="16">
        <f t="shared" si="873"/>
        <v>15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8">
        <f>COUNTA(Spieltag!K267:AA267)</f>
        <v>0</v>
      </c>
      <c r="C280" s="165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20</v>
      </c>
      <c r="P280" s="16">
        <f t="shared" si="859"/>
        <v>10</v>
      </c>
      <c r="Q280" s="16">
        <f t="shared" ref="Q280:Q288" si="903">IF(($W$10&lt;&gt;0),$W$10*-10,10)</f>
        <v>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8">
        <f>COUNTA(Spieltag!K268:AA268)</f>
        <v>0</v>
      </c>
      <c r="C281" s="165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20</v>
      </c>
      <c r="P281" s="16">
        <f t="shared" si="859"/>
        <v>10</v>
      </c>
      <c r="Q281" s="16">
        <f t="shared" si="903"/>
        <v>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8">
        <f>COUNTA(Spieltag!K269:AA269)</f>
        <v>0</v>
      </c>
      <c r="C282" s="165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20</v>
      </c>
      <c r="P282" s="16">
        <f t="shared" si="859"/>
        <v>10</v>
      </c>
      <c r="Q282" s="16">
        <f t="shared" si="903"/>
        <v>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8">
        <f>COUNTA(Spieltag!K270:AA270)</f>
        <v>0</v>
      </c>
      <c r="C283" s="165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20</v>
      </c>
      <c r="P283" s="16">
        <f t="shared" si="859"/>
        <v>10</v>
      </c>
      <c r="Q283" s="16">
        <f t="shared" si="903"/>
        <v>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8">
        <f>COUNTA(Spieltag!K271:AA271)</f>
        <v>0</v>
      </c>
      <c r="C284" s="165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20</v>
      </c>
      <c r="P284" s="16">
        <f t="shared" si="859"/>
        <v>10</v>
      </c>
      <c r="Q284" s="16">
        <f t="shared" si="903"/>
        <v>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8">
        <f>COUNTA(Spieltag!K272:AA272)</f>
        <v>0</v>
      </c>
      <c r="C285" s="165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20</v>
      </c>
      <c r="P285" s="16">
        <f t="shared" si="859"/>
        <v>10</v>
      </c>
      <c r="Q285" s="16">
        <f t="shared" si="903"/>
        <v>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8">
        <f>COUNTA(Spieltag!K273:AA273)</f>
        <v>0</v>
      </c>
      <c r="C286" s="165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20</v>
      </c>
      <c r="P286" s="16">
        <f t="shared" si="859"/>
        <v>10</v>
      </c>
      <c r="Q286" s="16">
        <f t="shared" si="903"/>
        <v>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8">
        <f>COUNTA(Spieltag!K274:AA274)</f>
        <v>0</v>
      </c>
      <c r="C287" s="165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20</v>
      </c>
      <c r="P287" s="16">
        <f t="shared" si="859"/>
        <v>10</v>
      </c>
      <c r="Q287" s="16">
        <f t="shared" si="903"/>
        <v>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8">
        <f>COUNTA(Spieltag!K275:AA275)</f>
        <v>0</v>
      </c>
      <c r="C288" s="165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20</v>
      </c>
      <c r="P288" s="16">
        <f t="shared" si="859"/>
        <v>10</v>
      </c>
      <c r="Q288" s="16">
        <f t="shared" si="903"/>
        <v>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8">
        <f>COUNTA(Spieltag!K276:AA276)</f>
        <v>0</v>
      </c>
      <c r="C289" s="165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20</v>
      </c>
      <c r="P289" s="16">
        <f t="shared" si="859"/>
        <v>10</v>
      </c>
      <c r="Q289" s="16">
        <f>IF(($W$10&lt;&gt;0),$W$10*-10,5)</f>
        <v>5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8">
        <f>COUNTA(Spieltag!K277:AA277)</f>
        <v>0</v>
      </c>
      <c r="C290" s="165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20</v>
      </c>
      <c r="P290" s="16">
        <f t="shared" si="859"/>
        <v>10</v>
      </c>
      <c r="Q290" s="16">
        <f t="shared" ref="Q290:Q296" si="928">IF(($W$10&lt;&gt;0),$W$10*-10,5)</f>
        <v>5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8">
        <f>COUNTA(Spieltag!K278:AA278)</f>
        <v>0</v>
      </c>
      <c r="C291" s="165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20</v>
      </c>
      <c r="P291" s="16">
        <f t="shared" si="859"/>
        <v>10</v>
      </c>
      <c r="Q291" s="16">
        <f t="shared" si="928"/>
        <v>5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8">
        <f>COUNTA(Spieltag!K279:AA279)</f>
        <v>0</v>
      </c>
      <c r="C292" s="165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20</v>
      </c>
      <c r="P292" s="16">
        <f t="shared" si="859"/>
        <v>10</v>
      </c>
      <c r="Q292" s="16">
        <f t="shared" si="928"/>
        <v>5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8">
        <f>COUNTA(Spieltag!K280:AA280)</f>
        <v>0</v>
      </c>
      <c r="C293" s="165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20</v>
      </c>
      <c r="P293" s="16">
        <f t="shared" si="859"/>
        <v>10</v>
      </c>
      <c r="Q293" s="16">
        <f t="shared" si="928"/>
        <v>5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8">
        <f>COUNTA(Spieltag!K281:AA281)</f>
        <v>0</v>
      </c>
      <c r="C294" s="165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20</v>
      </c>
      <c r="P294" s="16">
        <f t="shared" si="859"/>
        <v>10</v>
      </c>
      <c r="Q294" s="16">
        <f t="shared" si="928"/>
        <v>5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8">
        <f>COUNTA(Spieltag!K282:AA282)</f>
        <v>0</v>
      </c>
      <c r="C295" s="165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20</v>
      </c>
      <c r="P295" s="16">
        <f t="shared" si="859"/>
        <v>10</v>
      </c>
      <c r="Q295" s="16">
        <f t="shared" si="928"/>
        <v>5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8">
        <f>COUNTA(Spieltag!K283:AA283)</f>
        <v>0</v>
      </c>
      <c r="C296" s="165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20</v>
      </c>
      <c r="P296" s="16">
        <f t="shared" si="859"/>
        <v>10</v>
      </c>
      <c r="Q296" s="16">
        <f t="shared" si="928"/>
        <v>5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3" customFormat="1" ht="17.25" thickBot="1" x14ac:dyDescent="0.25">
      <c r="A297" s="141"/>
      <c r="B297" s="142">
        <f>SUM(B298:B327)</f>
        <v>1</v>
      </c>
      <c r="C297" s="157"/>
      <c r="D297" s="220" t="s">
        <v>73</v>
      </c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1"/>
    </row>
    <row r="298" spans="1:23" ht="10.5" hidden="1" customHeight="1" x14ac:dyDescent="0.2">
      <c r="A298" s="11"/>
      <c r="B298" s="148">
        <f>COUNTA(Spieltag!K285:AA285)</f>
        <v>0</v>
      </c>
      <c r="C298" s="165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0</v>
      </c>
      <c r="P298" s="16">
        <f>IF(($V$11&lt;&gt;0),$V$11*10,-5)</f>
        <v>-5</v>
      </c>
      <c r="Q298" s="16">
        <f>IF(($W$11&lt;&gt;0),$W$11*-10,20)</f>
        <v>-20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8">
        <f>COUNTA(Spieltag!K286:AA286)</f>
        <v>0</v>
      </c>
      <c r="C299" s="165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0</v>
      </c>
      <c r="P299" s="16">
        <f t="shared" ref="P299:P302" si="962">IF(($V$11&lt;&gt;0),$V$11*10,-5)</f>
        <v>-5</v>
      </c>
      <c r="Q299" s="16">
        <f t="shared" ref="Q299:Q302" si="963">IF(($W$11&lt;&gt;0),$W$11*-10,20)</f>
        <v>-20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8">
        <f>COUNTA(Spieltag!K287:AA287)</f>
        <v>0</v>
      </c>
      <c r="C300" s="165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0</v>
      </c>
      <c r="P300" s="16">
        <f t="shared" si="962"/>
        <v>-5</v>
      </c>
      <c r="Q300" s="16">
        <f t="shared" si="963"/>
        <v>-20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8">
        <f>COUNTA(Spieltag!K288:AA288)</f>
        <v>0</v>
      </c>
      <c r="C301" s="165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0</v>
      </c>
      <c r="P301" s="16">
        <f t="shared" si="962"/>
        <v>-5</v>
      </c>
      <c r="Q301" s="16">
        <f t="shared" si="963"/>
        <v>-20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8">
        <f>COUNTA(Spieltag!K289:AA289)</f>
        <v>0</v>
      </c>
      <c r="C302" s="165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0</v>
      </c>
      <c r="P302" s="16">
        <f t="shared" si="962"/>
        <v>-5</v>
      </c>
      <c r="Q302" s="16">
        <f t="shared" si="963"/>
        <v>-20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8">
        <f>COUNTA(Spieltag!K290:AA290)</f>
        <v>0</v>
      </c>
      <c r="C303" s="165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0</v>
      </c>
      <c r="P303" s="16">
        <f t="shared" ref="P303:P313" si="981">IF(($V$11&lt;&gt;0),$V$11*10,-5)</f>
        <v>-5</v>
      </c>
      <c r="Q303" s="16">
        <f t="shared" ref="Q303:Q313" si="982">IF(($W$11&lt;&gt;0),$W$11*-15,15)</f>
        <v>-30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8">
        <f>COUNTA(Spieltag!K291:AA291)</f>
        <v>0</v>
      </c>
      <c r="C304" s="165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0</v>
      </c>
      <c r="P304" s="16">
        <f t="shared" si="981"/>
        <v>-5</v>
      </c>
      <c r="Q304" s="16">
        <f t="shared" si="982"/>
        <v>-30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8">
        <f>COUNTA(Spieltag!K292:AA292)</f>
        <v>0</v>
      </c>
      <c r="C305" s="165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0</v>
      </c>
      <c r="P305" s="16">
        <f t="shared" si="981"/>
        <v>-5</v>
      </c>
      <c r="Q305" s="16">
        <f t="shared" si="982"/>
        <v>-30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8">
        <f>COUNTA(Spieltag!K293:AA293)</f>
        <v>0</v>
      </c>
      <c r="C306" s="165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0</v>
      </c>
      <c r="P306" s="16">
        <f t="shared" si="981"/>
        <v>-5</v>
      </c>
      <c r="Q306" s="16">
        <f t="shared" si="982"/>
        <v>-30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8">
        <f>COUNTA(Spieltag!K294:AA294)</f>
        <v>0</v>
      </c>
      <c r="C307" s="165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0</v>
      </c>
      <c r="P307" s="16">
        <f t="shared" si="981"/>
        <v>-5</v>
      </c>
      <c r="Q307" s="16">
        <f t="shared" si="982"/>
        <v>-30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8">
        <f>COUNTA(Spieltag!K295:AA295)</f>
        <v>0</v>
      </c>
      <c r="C308" s="165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0</v>
      </c>
      <c r="P308" s="16">
        <f t="shared" si="981"/>
        <v>-5</v>
      </c>
      <c r="Q308" s="16">
        <f t="shared" si="982"/>
        <v>-30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8">
        <f>COUNTA(Spieltag!K296:AA296)</f>
        <v>0</v>
      </c>
      <c r="C309" s="165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0</v>
      </c>
      <c r="P309" s="16">
        <f t="shared" si="981"/>
        <v>-5</v>
      </c>
      <c r="Q309" s="16">
        <f t="shared" si="982"/>
        <v>-30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8">
        <f>COUNTA(Spieltag!K297:AA297)</f>
        <v>0</v>
      </c>
      <c r="C310" s="165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0</v>
      </c>
      <c r="P310" s="16">
        <f t="shared" si="981"/>
        <v>-5</v>
      </c>
      <c r="Q310" s="16">
        <f t="shared" si="982"/>
        <v>-30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customHeight="1" x14ac:dyDescent="0.2">
      <c r="A311" s="11"/>
      <c r="B311" s="148">
        <f>COUNTA(Spieltag!K298:AA298)</f>
        <v>1</v>
      </c>
      <c r="C311" s="165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 t="s">
        <v>678</v>
      </c>
      <c r="H311" s="15">
        <f t="shared" si="987"/>
        <v>10</v>
      </c>
      <c r="I311" s="14" t="s">
        <v>678</v>
      </c>
      <c r="J311" s="15">
        <f t="shared" si="988"/>
        <v>-10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0</v>
      </c>
      <c r="P311" s="16">
        <f t="shared" si="981"/>
        <v>-5</v>
      </c>
      <c r="Q311" s="16">
        <f t="shared" si="982"/>
        <v>-30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-35</v>
      </c>
    </row>
    <row r="312" spans="1:23" ht="10.5" hidden="1" customHeight="1" x14ac:dyDescent="0.2">
      <c r="A312" s="11"/>
      <c r="B312" s="148">
        <f>COUNTA(Spieltag!K299:AA299)</f>
        <v>0</v>
      </c>
      <c r="C312" s="165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0</v>
      </c>
      <c r="P312" s="16">
        <f t="shared" si="981"/>
        <v>-5</v>
      </c>
      <c r="Q312" s="16">
        <f t="shared" si="982"/>
        <v>-30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8">
        <f>COUNTA(Spieltag!K300:AA300)</f>
        <v>0</v>
      </c>
      <c r="C313" s="165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0</v>
      </c>
      <c r="P313" s="16">
        <f t="shared" si="981"/>
        <v>-5</v>
      </c>
      <c r="Q313" s="16">
        <f t="shared" si="982"/>
        <v>-30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8">
        <f>COUNTA(Spieltag!K301:AA301)</f>
        <v>0</v>
      </c>
      <c r="C314" s="165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0</v>
      </c>
      <c r="P314" s="16">
        <f t="shared" ref="P314:P327" si="1000">IF(($V$11&lt;&gt;0),$V$11*10,-5)</f>
        <v>-5</v>
      </c>
      <c r="Q314" s="16">
        <f t="shared" ref="Q314:Q321" si="1001">IF(($W$11&lt;&gt;0),$W$11*-10,10)</f>
        <v>-20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8">
        <f>COUNTA(Spieltag!K302:AA302)</f>
        <v>0</v>
      </c>
      <c r="C315" s="165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0</v>
      </c>
      <c r="P315" s="16">
        <f t="shared" si="1000"/>
        <v>-5</v>
      </c>
      <c r="Q315" s="16">
        <f t="shared" si="1001"/>
        <v>-20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8">
        <f>COUNTA(Spieltag!K303:AA303)</f>
        <v>0</v>
      </c>
      <c r="C316" s="165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0</v>
      </c>
      <c r="P316" s="16">
        <f t="shared" si="1000"/>
        <v>-5</v>
      </c>
      <c r="Q316" s="16">
        <f t="shared" si="1001"/>
        <v>-20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8">
        <f>COUNTA(Spieltag!K304:AA304)</f>
        <v>0</v>
      </c>
      <c r="C317" s="165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0</v>
      </c>
      <c r="P317" s="16">
        <f t="shared" si="1000"/>
        <v>-5</v>
      </c>
      <c r="Q317" s="16">
        <f t="shared" si="1001"/>
        <v>-20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8">
        <f>COUNTA(Spieltag!K305:AA305)</f>
        <v>0</v>
      </c>
      <c r="C318" s="165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0</v>
      </c>
      <c r="P318" s="16">
        <f t="shared" si="1000"/>
        <v>-5</v>
      </c>
      <c r="Q318" s="16">
        <f t="shared" si="1001"/>
        <v>-20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8">
        <f>COUNTA(Spieltag!K306:AA306)</f>
        <v>0</v>
      </c>
      <c r="C319" s="165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0</v>
      </c>
      <c r="P319" s="16">
        <f t="shared" si="1000"/>
        <v>-5</v>
      </c>
      <c r="Q319" s="16">
        <f t="shared" si="1001"/>
        <v>-20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8">
        <f>COUNTA(Spieltag!K307:AA307)</f>
        <v>0</v>
      </c>
      <c r="C320" s="165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0</v>
      </c>
      <c r="P320" s="16">
        <f t="shared" si="1000"/>
        <v>-5</v>
      </c>
      <c r="Q320" s="16">
        <f t="shared" si="1001"/>
        <v>-20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8">
        <f>COUNTA(Spieltag!K308:AA308)</f>
        <v>0</v>
      </c>
      <c r="C321" s="165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0</v>
      </c>
      <c r="P321" s="16">
        <f t="shared" si="1000"/>
        <v>-5</v>
      </c>
      <c r="Q321" s="16">
        <f t="shared" si="1001"/>
        <v>-20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8">
        <f>COUNTA(Spieltag!K309:AA309)</f>
        <v>0</v>
      </c>
      <c r="C322" s="165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0</v>
      </c>
      <c r="P322" s="16">
        <f t="shared" si="1000"/>
        <v>-5</v>
      </c>
      <c r="Q322" s="16">
        <f>IF(($W$11&lt;&gt;0),$W$11*-10,5)</f>
        <v>-20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hidden="1" customHeight="1" x14ac:dyDescent="0.2">
      <c r="A323" s="11"/>
      <c r="B323" s="148">
        <f>COUNTA(Spieltag!K310:AA310)</f>
        <v>0</v>
      </c>
      <c r="C323" s="165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/>
      <c r="H323" s="15">
        <f>IF(G323="x",10,0)</f>
        <v>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0</v>
      </c>
      <c r="P323" s="16">
        <f t="shared" si="1000"/>
        <v>-5</v>
      </c>
      <c r="Q323" s="16">
        <f t="shared" ref="Q323:Q327" si="1020">IF(($W$11&lt;&gt;0),$W$11*-10,5)</f>
        <v>-20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0</v>
      </c>
    </row>
    <row r="324" spans="1:23" ht="10.5" hidden="1" customHeight="1" x14ac:dyDescent="0.2">
      <c r="A324" s="11"/>
      <c r="B324" s="148">
        <f>COUNTA(Spieltag!K311:AA311)</f>
        <v>0</v>
      </c>
      <c r="C324" s="165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0</v>
      </c>
      <c r="P324" s="16">
        <f t="shared" si="1000"/>
        <v>-5</v>
      </c>
      <c r="Q324" s="16">
        <f t="shared" si="1020"/>
        <v>-20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8">
        <f>COUNTA(Spieltag!K312:AA312)</f>
        <v>0</v>
      </c>
      <c r="C325" s="165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0</v>
      </c>
      <c r="P325" s="16">
        <f t="shared" si="1000"/>
        <v>-5</v>
      </c>
      <c r="Q325" s="16">
        <f t="shared" si="1020"/>
        <v>-20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8">
        <f>COUNTA(Spieltag!K313:AA313)</f>
        <v>0</v>
      </c>
      <c r="C326" s="165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0</v>
      </c>
      <c r="P326" s="16">
        <f t="shared" si="1000"/>
        <v>-5</v>
      </c>
      <c r="Q326" s="16">
        <f t="shared" si="1020"/>
        <v>-20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8">
        <f>COUNTA(Spieltag!K314:AA314)</f>
        <v>0</v>
      </c>
      <c r="C327" s="165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0</v>
      </c>
      <c r="P327" s="16">
        <f t="shared" si="1000"/>
        <v>-5</v>
      </c>
      <c r="Q327" s="16">
        <f t="shared" si="1020"/>
        <v>-20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3" customFormat="1" ht="17.25" hidden="1" thickBot="1" x14ac:dyDescent="0.25">
      <c r="A328" s="141"/>
      <c r="B328" s="142">
        <f>SUM(B329:B358)</f>
        <v>0</v>
      </c>
      <c r="C328" s="157"/>
      <c r="D328" s="220" t="s">
        <v>181</v>
      </c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1"/>
    </row>
    <row r="329" spans="1:23" ht="10.5" hidden="1" customHeight="1" x14ac:dyDescent="0.2">
      <c r="A329" s="11"/>
      <c r="B329" s="149">
        <f>COUNTA(Spieltag!K316:AA316)</f>
        <v>0</v>
      </c>
      <c r="C329" s="165">
        <f>Spieltag!A316</f>
        <v>1</v>
      </c>
      <c r="D329" s="21" t="str">
        <f>Spieltag!B316</f>
        <v>Marvin Schwäbe</v>
      </c>
      <c r="E329" s="150" t="str">
        <f>Spieltag!C316</f>
        <v>Torwart</v>
      </c>
      <c r="F329" s="151" t="s">
        <v>176</v>
      </c>
      <c r="G329" s="152"/>
      <c r="H329" s="153">
        <f>IF(G329="x",10,0)</f>
        <v>0</v>
      </c>
      <c r="I329" s="152"/>
      <c r="J329" s="153">
        <f>IF((I329="x"),-10,0)</f>
        <v>0</v>
      </c>
      <c r="K329" s="152"/>
      <c r="L329" s="153">
        <f>IF((K329="x"),-20,0)</f>
        <v>0</v>
      </c>
      <c r="M329" s="152"/>
      <c r="N329" s="153">
        <f>IF((M329="x"),-30,0)</f>
        <v>0</v>
      </c>
      <c r="O329" s="154">
        <f t="shared" ref="O329:O341" si="1037">IF(AND($V$5&gt;$W$5),20,IF($V$5=$W$5,10,0))</f>
        <v>0</v>
      </c>
      <c r="P329" s="154">
        <f t="shared" ref="P329:P341" si="1038">IF(($V$5&lt;&gt;0),$V$5*10,-5)</f>
        <v>-5</v>
      </c>
      <c r="Q329" s="154">
        <f>IF(($W$5&lt;&gt;0),$W$5*-10,20)</f>
        <v>-10</v>
      </c>
      <c r="R329" s="152"/>
      <c r="S329" s="153">
        <f>R329*20</f>
        <v>0</v>
      </c>
      <c r="T329" s="152"/>
      <c r="U329" s="153">
        <f>T329*-15</f>
        <v>0</v>
      </c>
      <c r="V329" s="154">
        <f>IF(AND(R329=2),10,IF(R329=3,30,IF(R329=4,50,IF(R329=5,70,0))))</f>
        <v>0</v>
      </c>
      <c r="W329" s="155">
        <f>IF(G329="x",H329+J329+L329+N329+O329+P329+Q329+S329+U329+V329,0)</f>
        <v>0</v>
      </c>
    </row>
    <row r="330" spans="1:23" ht="10.5" hidden="1" customHeight="1" x14ac:dyDescent="0.2">
      <c r="A330" s="11"/>
      <c r="B330" s="149">
        <f>COUNTA(Spieltag!K317:AA317)</f>
        <v>0</v>
      </c>
      <c r="C330" s="165">
        <f>Spieltag!A317</f>
        <v>12</v>
      </c>
      <c r="D330" s="21" t="str">
        <f>Spieltag!B317</f>
        <v>Jonas Nickisch</v>
      </c>
      <c r="E330" s="150" t="str">
        <f>Spieltag!C317</f>
        <v>Torwart</v>
      </c>
      <c r="F330" s="151" t="s">
        <v>176</v>
      </c>
      <c r="G330" s="152"/>
      <c r="H330" s="153">
        <f t="shared" ref="H330" si="1039">IF(G330="x",10,0)</f>
        <v>0</v>
      </c>
      <c r="I330" s="152"/>
      <c r="J330" s="153">
        <f t="shared" ref="J330" si="1040">IF((I330="x"),-10,0)</f>
        <v>0</v>
      </c>
      <c r="K330" s="152"/>
      <c r="L330" s="153">
        <f t="shared" ref="L330" si="1041">IF((K330="x"),-20,0)</f>
        <v>0</v>
      </c>
      <c r="M330" s="152"/>
      <c r="N330" s="153">
        <f t="shared" ref="N330" si="1042">IF((M330="x"),-30,0)</f>
        <v>0</v>
      </c>
      <c r="O330" s="154">
        <f t="shared" si="1037"/>
        <v>0</v>
      </c>
      <c r="P330" s="154">
        <f t="shared" si="1038"/>
        <v>-5</v>
      </c>
      <c r="Q330" s="154">
        <f t="shared" ref="Q330:Q332" si="1043">IF(($W$5&lt;&gt;0),$W$5*-10,20)</f>
        <v>-10</v>
      </c>
      <c r="R330" s="152"/>
      <c r="S330" s="153">
        <f t="shared" ref="S330" si="1044">R330*20</f>
        <v>0</v>
      </c>
      <c r="T330" s="152"/>
      <c r="U330" s="153">
        <f t="shared" ref="U330" si="1045">T330*-15</f>
        <v>0</v>
      </c>
      <c r="V330" s="154">
        <f t="shared" ref="V330" si="1046">IF(AND(R330=2),10,IF(R330=3,30,IF(R330=4,50,IF(R330=5,70,0))))</f>
        <v>0</v>
      </c>
      <c r="W330" s="155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49">
        <f>COUNTA(Spieltag!K318:AA318)</f>
        <v>0</v>
      </c>
      <c r="C331" s="165">
        <f>Spieltag!A318</f>
        <v>20</v>
      </c>
      <c r="D331" s="21" t="str">
        <f>Spieltag!B318</f>
        <v>Philipp Pentke</v>
      </c>
      <c r="E331" s="150" t="str">
        <f>Spieltag!C318</f>
        <v>Torwart</v>
      </c>
      <c r="F331" s="151" t="s">
        <v>176</v>
      </c>
      <c r="G331" s="152"/>
      <c r="H331" s="153">
        <f t="shared" ref="H331:H332" si="1048">IF(G331="x",10,0)</f>
        <v>0</v>
      </c>
      <c r="I331" s="152"/>
      <c r="J331" s="153">
        <f t="shared" ref="J331:J332" si="1049">IF((I331="x"),-10,0)</f>
        <v>0</v>
      </c>
      <c r="K331" s="152"/>
      <c r="L331" s="153">
        <f t="shared" ref="L331:L332" si="1050">IF((K331="x"),-20,0)</f>
        <v>0</v>
      </c>
      <c r="M331" s="152"/>
      <c r="N331" s="153">
        <f t="shared" ref="N331:N332" si="1051">IF((M331="x"),-30,0)</f>
        <v>0</v>
      </c>
      <c r="O331" s="154">
        <f t="shared" si="1037"/>
        <v>0</v>
      </c>
      <c r="P331" s="154">
        <f t="shared" si="1038"/>
        <v>-5</v>
      </c>
      <c r="Q331" s="154">
        <f t="shared" si="1043"/>
        <v>-10</v>
      </c>
      <c r="R331" s="152"/>
      <c r="S331" s="153">
        <f t="shared" ref="S331:S332" si="1052">R331*20</f>
        <v>0</v>
      </c>
      <c r="T331" s="152"/>
      <c r="U331" s="153">
        <f t="shared" ref="U331:U332" si="1053">T331*-15</f>
        <v>0</v>
      </c>
      <c r="V331" s="154">
        <f t="shared" ref="V331:V332" si="1054">IF(AND(R331=2),10,IF(R331=3,30,IF(R331=4,50,IF(R331=5,70,0))))</f>
        <v>0</v>
      </c>
      <c r="W331" s="155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49">
        <f>COUNTA(Spieltag!K319:AA319)</f>
        <v>0</v>
      </c>
      <c r="C332" s="165">
        <f>Spieltag!A319</f>
        <v>44</v>
      </c>
      <c r="D332" s="21" t="str">
        <f>Spieltag!B319</f>
        <v>Matthias Köbbing</v>
      </c>
      <c r="E332" s="150" t="str">
        <f>Spieltag!C319</f>
        <v>Torwart</v>
      </c>
      <c r="F332" s="151" t="s">
        <v>176</v>
      </c>
      <c r="G332" s="152"/>
      <c r="H332" s="153">
        <f t="shared" si="1048"/>
        <v>0</v>
      </c>
      <c r="I332" s="152"/>
      <c r="J332" s="153">
        <f t="shared" si="1049"/>
        <v>0</v>
      </c>
      <c r="K332" s="152"/>
      <c r="L332" s="153">
        <f t="shared" si="1050"/>
        <v>0</v>
      </c>
      <c r="M332" s="152"/>
      <c r="N332" s="153">
        <f t="shared" si="1051"/>
        <v>0</v>
      </c>
      <c r="O332" s="154">
        <f t="shared" si="1037"/>
        <v>0</v>
      </c>
      <c r="P332" s="154">
        <f t="shared" si="1038"/>
        <v>-5</v>
      </c>
      <c r="Q332" s="154">
        <f t="shared" si="1043"/>
        <v>-10</v>
      </c>
      <c r="R332" s="152"/>
      <c r="S332" s="153">
        <f t="shared" si="1052"/>
        <v>0</v>
      </c>
      <c r="T332" s="152"/>
      <c r="U332" s="153">
        <f t="shared" si="1053"/>
        <v>0</v>
      </c>
      <c r="V332" s="154">
        <f t="shared" si="1054"/>
        <v>0</v>
      </c>
      <c r="W332" s="155">
        <f t="shared" si="1055"/>
        <v>0</v>
      </c>
    </row>
    <row r="333" spans="1:23" ht="10.5" hidden="1" customHeight="1" x14ac:dyDescent="0.2">
      <c r="A333" s="11"/>
      <c r="B333" s="149">
        <f>COUNTA(Spieltag!K320:AA320)</f>
        <v>0</v>
      </c>
      <c r="C333" s="165">
        <f>Spieltag!A320</f>
        <v>2</v>
      </c>
      <c r="D333" s="21" t="str">
        <f>Spieltag!B320</f>
        <v>Benno Schmitz</v>
      </c>
      <c r="E333" s="150" t="str">
        <f>Spieltag!C320</f>
        <v>Abwehr</v>
      </c>
      <c r="F333" s="151" t="s">
        <v>176</v>
      </c>
      <c r="G333" s="152"/>
      <c r="H333" s="153">
        <f>IF(G333="x",10,0)</f>
        <v>0</v>
      </c>
      <c r="I333" s="152"/>
      <c r="J333" s="153">
        <f>IF((I333="x"),-10,0)</f>
        <v>0</v>
      </c>
      <c r="K333" s="152"/>
      <c r="L333" s="153">
        <f>IF((K333="x"),-20,0)</f>
        <v>0</v>
      </c>
      <c r="M333" s="152"/>
      <c r="N333" s="153">
        <f>IF((M333="x"),-30,0)</f>
        <v>0</v>
      </c>
      <c r="O333" s="154">
        <f t="shared" si="1037"/>
        <v>0</v>
      </c>
      <c r="P333" s="154">
        <f t="shared" si="1038"/>
        <v>-5</v>
      </c>
      <c r="Q333" s="154">
        <f t="shared" ref="Q333:Q341" si="1056">IF(($W$5&lt;&gt;0),$W$5*-10,15)</f>
        <v>-10</v>
      </c>
      <c r="R333" s="152"/>
      <c r="S333" s="153">
        <f>R333*15</f>
        <v>0</v>
      </c>
      <c r="T333" s="152"/>
      <c r="U333" s="153">
        <f>T333*-15</f>
        <v>0</v>
      </c>
      <c r="V333" s="154">
        <f>IF(AND(R333=2),10,IF(R333=3,30,IF(R333=4,50,IF(R333=5,70,0))))</f>
        <v>0</v>
      </c>
      <c r="W333" s="155">
        <f>IF(G333="x",H333+J333+L333+N333+O333+P333+Q333+S333+U333+V333,0)</f>
        <v>0</v>
      </c>
    </row>
    <row r="334" spans="1:23" ht="10.5" hidden="1" customHeight="1" x14ac:dyDescent="0.2">
      <c r="A334" s="11"/>
      <c r="B334" s="149">
        <f>COUNTA(Spieltag!K321:AA321)</f>
        <v>0</v>
      </c>
      <c r="C334" s="165">
        <f>Spieltag!A321</f>
        <v>3</v>
      </c>
      <c r="D334" s="21" t="str">
        <f>Spieltag!B321</f>
        <v>Dominique Heintz</v>
      </c>
      <c r="E334" s="150" t="str">
        <f>Spieltag!C321</f>
        <v>Abwehr</v>
      </c>
      <c r="F334" s="151" t="s">
        <v>176</v>
      </c>
      <c r="G334" s="152"/>
      <c r="H334" s="153">
        <f t="shared" ref="H334:H339" si="1057">IF(G334="x",10,0)</f>
        <v>0</v>
      </c>
      <c r="I334" s="152"/>
      <c r="J334" s="153">
        <f t="shared" ref="J334:J339" si="1058">IF((I334="x"),-10,0)</f>
        <v>0</v>
      </c>
      <c r="K334" s="152"/>
      <c r="L334" s="153">
        <f t="shared" ref="L334:L339" si="1059">IF((K334="x"),-20,0)</f>
        <v>0</v>
      </c>
      <c r="M334" s="152"/>
      <c r="N334" s="153">
        <f t="shared" ref="N334:N339" si="1060">IF((M334="x"),-30,0)</f>
        <v>0</v>
      </c>
      <c r="O334" s="154">
        <f t="shared" si="1037"/>
        <v>0</v>
      </c>
      <c r="P334" s="154">
        <f t="shared" si="1038"/>
        <v>-5</v>
      </c>
      <c r="Q334" s="154">
        <f t="shared" si="1056"/>
        <v>-10</v>
      </c>
      <c r="R334" s="152"/>
      <c r="S334" s="153">
        <f t="shared" ref="S334:S339" si="1061">R334*15</f>
        <v>0</v>
      </c>
      <c r="T334" s="152"/>
      <c r="U334" s="153">
        <f t="shared" ref="U334:U339" si="1062">T334*-15</f>
        <v>0</v>
      </c>
      <c r="V334" s="154">
        <f t="shared" ref="V334:V339" si="1063">IF(AND(R334=2),10,IF(R334=3,30,IF(R334=4,50,IF(R334=5,70,0))))</f>
        <v>0</v>
      </c>
      <c r="W334" s="155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49">
        <f>COUNTA(Spieltag!K322:AA322)</f>
        <v>0</v>
      </c>
      <c r="C335" s="165">
        <f>Spieltag!A322</f>
        <v>4</v>
      </c>
      <c r="D335" s="21" t="str">
        <f>Spieltag!B322</f>
        <v>Timo Hübers</v>
      </c>
      <c r="E335" s="150" t="str">
        <f>Spieltag!C322</f>
        <v>Abwehr</v>
      </c>
      <c r="F335" s="151" t="s">
        <v>176</v>
      </c>
      <c r="G335" s="152"/>
      <c r="H335" s="153">
        <f t="shared" si="1057"/>
        <v>0</v>
      </c>
      <c r="I335" s="152"/>
      <c r="J335" s="153">
        <f t="shared" si="1058"/>
        <v>0</v>
      </c>
      <c r="K335" s="152"/>
      <c r="L335" s="153">
        <f t="shared" si="1059"/>
        <v>0</v>
      </c>
      <c r="M335" s="152"/>
      <c r="N335" s="153">
        <f t="shared" si="1060"/>
        <v>0</v>
      </c>
      <c r="O335" s="154">
        <f t="shared" si="1037"/>
        <v>0</v>
      </c>
      <c r="P335" s="154">
        <f t="shared" si="1038"/>
        <v>-5</v>
      </c>
      <c r="Q335" s="154">
        <f t="shared" si="1056"/>
        <v>-10</v>
      </c>
      <c r="R335" s="152"/>
      <c r="S335" s="153">
        <f t="shared" si="1061"/>
        <v>0</v>
      </c>
      <c r="T335" s="152"/>
      <c r="U335" s="153">
        <f t="shared" si="1062"/>
        <v>0</v>
      </c>
      <c r="V335" s="154">
        <f t="shared" si="1063"/>
        <v>0</v>
      </c>
      <c r="W335" s="155">
        <f t="shared" si="1064"/>
        <v>0</v>
      </c>
    </row>
    <row r="336" spans="1:23" ht="10.5" hidden="1" customHeight="1" x14ac:dyDescent="0.2">
      <c r="A336" s="11"/>
      <c r="B336" s="149">
        <f>COUNTA(Spieltag!K323:AA323)</f>
        <v>0</v>
      </c>
      <c r="C336" s="165">
        <f>Spieltag!A323</f>
        <v>15</v>
      </c>
      <c r="D336" s="21" t="str">
        <f>Spieltag!B323</f>
        <v>Luca Kilian</v>
      </c>
      <c r="E336" s="150" t="str">
        <f>Spieltag!C323</f>
        <v>Abwehr</v>
      </c>
      <c r="F336" s="151" t="s">
        <v>176</v>
      </c>
      <c r="G336" s="152"/>
      <c r="H336" s="153">
        <f t="shared" si="1057"/>
        <v>0</v>
      </c>
      <c r="I336" s="152"/>
      <c r="J336" s="153">
        <f t="shared" si="1058"/>
        <v>0</v>
      </c>
      <c r="K336" s="152"/>
      <c r="L336" s="153">
        <f t="shared" si="1059"/>
        <v>0</v>
      </c>
      <c r="M336" s="152"/>
      <c r="N336" s="153">
        <f t="shared" si="1060"/>
        <v>0</v>
      </c>
      <c r="O336" s="154">
        <f t="shared" si="1037"/>
        <v>0</v>
      </c>
      <c r="P336" s="154">
        <f t="shared" si="1038"/>
        <v>-5</v>
      </c>
      <c r="Q336" s="154">
        <f t="shared" si="1056"/>
        <v>-10</v>
      </c>
      <c r="R336" s="152"/>
      <c r="S336" s="153">
        <f t="shared" si="1061"/>
        <v>0</v>
      </c>
      <c r="T336" s="152"/>
      <c r="U336" s="153">
        <f t="shared" si="1062"/>
        <v>0</v>
      </c>
      <c r="V336" s="154">
        <f t="shared" si="1063"/>
        <v>0</v>
      </c>
      <c r="W336" s="155">
        <f t="shared" si="1064"/>
        <v>0</v>
      </c>
    </row>
    <row r="337" spans="1:23" ht="10.5" hidden="1" customHeight="1" x14ac:dyDescent="0.2">
      <c r="A337" s="11"/>
      <c r="B337" s="149">
        <f>COUNTA(Spieltag!K324:AA324)</f>
        <v>0</v>
      </c>
      <c r="C337" s="165">
        <f>Spieltag!A324</f>
        <v>17</v>
      </c>
      <c r="D337" s="21" t="str">
        <f>Spieltag!B324</f>
        <v>Leart Paqarada</v>
      </c>
      <c r="E337" s="150" t="str">
        <f>Spieltag!C324</f>
        <v>Abwehr</v>
      </c>
      <c r="F337" s="151" t="s">
        <v>176</v>
      </c>
      <c r="G337" s="152"/>
      <c r="H337" s="153">
        <f t="shared" si="1057"/>
        <v>0</v>
      </c>
      <c r="I337" s="152"/>
      <c r="J337" s="153">
        <f t="shared" si="1058"/>
        <v>0</v>
      </c>
      <c r="K337" s="152"/>
      <c r="L337" s="153">
        <f t="shared" si="1059"/>
        <v>0</v>
      </c>
      <c r="M337" s="152"/>
      <c r="N337" s="153">
        <f t="shared" si="1060"/>
        <v>0</v>
      </c>
      <c r="O337" s="154">
        <f t="shared" si="1037"/>
        <v>0</v>
      </c>
      <c r="P337" s="154">
        <f t="shared" si="1038"/>
        <v>-5</v>
      </c>
      <c r="Q337" s="154">
        <f t="shared" si="1056"/>
        <v>-10</v>
      </c>
      <c r="R337" s="152"/>
      <c r="S337" s="153">
        <f t="shared" si="1061"/>
        <v>0</v>
      </c>
      <c r="T337" s="152"/>
      <c r="U337" s="153">
        <f t="shared" si="1062"/>
        <v>0</v>
      </c>
      <c r="V337" s="154">
        <f t="shared" si="1063"/>
        <v>0</v>
      </c>
      <c r="W337" s="155">
        <f t="shared" si="1064"/>
        <v>0</v>
      </c>
    </row>
    <row r="338" spans="1:23" ht="10.5" hidden="1" customHeight="1" x14ac:dyDescent="0.2">
      <c r="A338" s="11"/>
      <c r="B338" s="149">
        <f>COUNTA(Spieltag!K325:AA325)</f>
        <v>0</v>
      </c>
      <c r="C338" s="165">
        <f>Spieltag!A325</f>
        <v>18</v>
      </c>
      <c r="D338" s="21" t="str">
        <f>Spieltag!B325</f>
        <v>Rasmus Carstensen (A)</v>
      </c>
      <c r="E338" s="150" t="str">
        <f>Spieltag!C325</f>
        <v>Abwehr</v>
      </c>
      <c r="F338" s="151" t="s">
        <v>176</v>
      </c>
      <c r="G338" s="152"/>
      <c r="H338" s="153">
        <f t="shared" si="1057"/>
        <v>0</v>
      </c>
      <c r="I338" s="152"/>
      <c r="J338" s="153">
        <f t="shared" si="1058"/>
        <v>0</v>
      </c>
      <c r="K338" s="152"/>
      <c r="L338" s="153">
        <f t="shared" si="1059"/>
        <v>0</v>
      </c>
      <c r="M338" s="152"/>
      <c r="N338" s="153">
        <f t="shared" si="1060"/>
        <v>0</v>
      </c>
      <c r="O338" s="154">
        <f t="shared" si="1037"/>
        <v>0</v>
      </c>
      <c r="P338" s="154">
        <f t="shared" si="1038"/>
        <v>-5</v>
      </c>
      <c r="Q338" s="154">
        <f t="shared" si="1056"/>
        <v>-10</v>
      </c>
      <c r="R338" s="152"/>
      <c r="S338" s="153">
        <f t="shared" si="1061"/>
        <v>0</v>
      </c>
      <c r="T338" s="152"/>
      <c r="U338" s="153">
        <f t="shared" si="1062"/>
        <v>0</v>
      </c>
      <c r="V338" s="154">
        <f t="shared" si="1063"/>
        <v>0</v>
      </c>
      <c r="W338" s="155">
        <f t="shared" si="1064"/>
        <v>0</v>
      </c>
    </row>
    <row r="339" spans="1:23" ht="10.5" hidden="1" customHeight="1" x14ac:dyDescent="0.2">
      <c r="A339" s="11"/>
      <c r="B339" s="149">
        <f>COUNTA(Spieltag!K326:AA326)</f>
        <v>0</v>
      </c>
      <c r="C339" s="165">
        <f>Spieltag!A326</f>
        <v>24</v>
      </c>
      <c r="D339" s="21" t="str">
        <f>Spieltag!B326</f>
        <v>Jeff Chabot</v>
      </c>
      <c r="E339" s="150" t="str">
        <f>Spieltag!C326</f>
        <v>Abwehr</v>
      </c>
      <c r="F339" s="151" t="s">
        <v>176</v>
      </c>
      <c r="G339" s="152"/>
      <c r="H339" s="153">
        <f t="shared" si="1057"/>
        <v>0</v>
      </c>
      <c r="I339" s="152"/>
      <c r="J339" s="153">
        <f t="shared" si="1058"/>
        <v>0</v>
      </c>
      <c r="K339" s="152"/>
      <c r="L339" s="153">
        <f t="shared" si="1059"/>
        <v>0</v>
      </c>
      <c r="M339" s="152"/>
      <c r="N339" s="153">
        <f t="shared" si="1060"/>
        <v>0</v>
      </c>
      <c r="O339" s="154">
        <f t="shared" si="1037"/>
        <v>0</v>
      </c>
      <c r="P339" s="154">
        <f t="shared" si="1038"/>
        <v>-5</v>
      </c>
      <c r="Q339" s="154">
        <f t="shared" si="1056"/>
        <v>-10</v>
      </c>
      <c r="R339" s="152"/>
      <c r="S339" s="153">
        <f t="shared" si="1061"/>
        <v>0</v>
      </c>
      <c r="T339" s="152"/>
      <c r="U339" s="153">
        <f t="shared" si="1062"/>
        <v>0</v>
      </c>
      <c r="V339" s="154">
        <f t="shared" si="1063"/>
        <v>0</v>
      </c>
      <c r="W339" s="155">
        <f t="shared" si="1064"/>
        <v>0</v>
      </c>
    </row>
    <row r="340" spans="1:23" ht="10.5" hidden="1" customHeight="1" x14ac:dyDescent="0.2">
      <c r="A340" s="11"/>
      <c r="B340" s="149">
        <f>COUNTA(Spieltag!K327:AA327)</f>
        <v>0</v>
      </c>
      <c r="C340" s="165">
        <f>Spieltag!A327</f>
        <v>35</v>
      </c>
      <c r="D340" s="21" t="str">
        <f>Spieltag!B327</f>
        <v>Max Finkgräfe</v>
      </c>
      <c r="E340" s="150" t="str">
        <f>Spieltag!C327</f>
        <v>Abwehr</v>
      </c>
      <c r="F340" s="151" t="s">
        <v>176</v>
      </c>
      <c r="G340" s="152"/>
      <c r="H340" s="153">
        <f t="shared" ref="H340:H341" si="1065">IF(G340="x",10,0)</f>
        <v>0</v>
      </c>
      <c r="I340" s="152"/>
      <c r="J340" s="153">
        <f t="shared" ref="J340:J341" si="1066">IF((I340="x"),-10,0)</f>
        <v>0</v>
      </c>
      <c r="K340" s="152"/>
      <c r="L340" s="153">
        <f t="shared" ref="L340:L341" si="1067">IF((K340="x"),-20,0)</f>
        <v>0</v>
      </c>
      <c r="M340" s="152"/>
      <c r="N340" s="153">
        <f t="shared" ref="N340:N341" si="1068">IF((M340="x"),-30,0)</f>
        <v>0</v>
      </c>
      <c r="O340" s="154">
        <f t="shared" si="1037"/>
        <v>0</v>
      </c>
      <c r="P340" s="154">
        <f t="shared" si="1038"/>
        <v>-5</v>
      </c>
      <c r="Q340" s="154">
        <f t="shared" si="1056"/>
        <v>-10</v>
      </c>
      <c r="R340" s="152"/>
      <c r="S340" s="153">
        <f t="shared" ref="S340:S341" si="1069">R340*15</f>
        <v>0</v>
      </c>
      <c r="T340" s="152"/>
      <c r="U340" s="153">
        <f t="shared" ref="U340:U341" si="1070">T340*-15</f>
        <v>0</v>
      </c>
      <c r="V340" s="154">
        <f t="shared" ref="V340:V341" si="1071">IF(AND(R340=2),10,IF(R340=3,30,IF(R340=4,50,IF(R340=5,70,0))))</f>
        <v>0</v>
      </c>
      <c r="W340" s="155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49">
        <f>COUNTA(Spieltag!K328:AA328)</f>
        <v>0</v>
      </c>
      <c r="C341" s="165">
        <f>Spieltag!A328</f>
        <v>38</v>
      </c>
      <c r="D341" s="21" t="str">
        <f>Spieltag!B328</f>
        <v>Elias Bakatukanda</v>
      </c>
      <c r="E341" s="150" t="str">
        <f>Spieltag!C328</f>
        <v>Abwehr</v>
      </c>
      <c r="F341" s="151" t="s">
        <v>176</v>
      </c>
      <c r="G341" s="152"/>
      <c r="H341" s="153">
        <f t="shared" si="1065"/>
        <v>0</v>
      </c>
      <c r="I341" s="152"/>
      <c r="J341" s="153">
        <f t="shared" si="1066"/>
        <v>0</v>
      </c>
      <c r="K341" s="152"/>
      <c r="L341" s="153">
        <f t="shared" si="1067"/>
        <v>0</v>
      </c>
      <c r="M341" s="152"/>
      <c r="N341" s="153">
        <f t="shared" si="1068"/>
        <v>0</v>
      </c>
      <c r="O341" s="154">
        <f t="shared" si="1037"/>
        <v>0</v>
      </c>
      <c r="P341" s="154">
        <f t="shared" si="1038"/>
        <v>-5</v>
      </c>
      <c r="Q341" s="154">
        <f t="shared" si="1056"/>
        <v>-10</v>
      </c>
      <c r="R341" s="152"/>
      <c r="S341" s="153">
        <f t="shared" si="1069"/>
        <v>0</v>
      </c>
      <c r="T341" s="152"/>
      <c r="U341" s="153">
        <f t="shared" si="1070"/>
        <v>0</v>
      </c>
      <c r="V341" s="154">
        <f t="shared" si="1071"/>
        <v>0</v>
      </c>
      <c r="W341" s="155">
        <f t="shared" si="1072"/>
        <v>0</v>
      </c>
    </row>
    <row r="342" spans="1:23" ht="10.5" hidden="1" customHeight="1" x14ac:dyDescent="0.2">
      <c r="A342" s="11"/>
      <c r="B342" s="149">
        <f>COUNTA(Spieltag!K329:AA329)</f>
        <v>0</v>
      </c>
      <c r="C342" s="165">
        <f>Spieltag!A329</f>
        <v>6</v>
      </c>
      <c r="D342" s="21" t="str">
        <f>Spieltag!B329</f>
        <v>Eric Martel</v>
      </c>
      <c r="E342" s="150" t="str">
        <f>Spieltag!C329</f>
        <v>Mittelfeld</v>
      </c>
      <c r="F342" s="151" t="s">
        <v>176</v>
      </c>
      <c r="G342" s="152"/>
      <c r="H342" s="153">
        <f>IF(G342="x",10,0)</f>
        <v>0</v>
      </c>
      <c r="I342" s="152"/>
      <c r="J342" s="153">
        <f>IF((I342="x"),-10,0)</f>
        <v>0</v>
      </c>
      <c r="K342" s="152"/>
      <c r="L342" s="153">
        <f>IF((K342="x"),-20,0)</f>
        <v>0</v>
      </c>
      <c r="M342" s="152"/>
      <c r="N342" s="153">
        <f>IF((M342="x"),-30,0)</f>
        <v>0</v>
      </c>
      <c r="O342" s="154">
        <f t="shared" ref="O342:O358" si="1073">IF(AND($V$5&gt;$W$5),20,IF($V$5=$W$5,10,0))</f>
        <v>0</v>
      </c>
      <c r="P342" s="154">
        <f t="shared" ref="P342:P358" si="1074">IF(($V$5&lt;&gt;0),$V$5*10,-5)</f>
        <v>-5</v>
      </c>
      <c r="Q342" s="154">
        <f t="shared" ref="Q342:Q350" si="1075">IF(($W$5&lt;&gt;0),$W$5*-10,10)</f>
        <v>-10</v>
      </c>
      <c r="R342" s="152"/>
      <c r="S342" s="153">
        <f>R342*10</f>
        <v>0</v>
      </c>
      <c r="T342" s="152"/>
      <c r="U342" s="153">
        <f>T342*-15</f>
        <v>0</v>
      </c>
      <c r="V342" s="154">
        <f>IF(AND(R342=2),10,IF(R342=3,30,IF(R342=4,50,IF(R342=5,70,0))))</f>
        <v>0</v>
      </c>
      <c r="W342" s="155">
        <f>IF(G342="x",H342+J342+L342+N342+O342+P342+Q342+S342+U342+V342,0)</f>
        <v>0</v>
      </c>
    </row>
    <row r="343" spans="1:23" ht="10.5" hidden="1" customHeight="1" x14ac:dyDescent="0.2">
      <c r="A343" s="11"/>
      <c r="B343" s="149">
        <f>COUNTA(Spieltag!K330:AA330)</f>
        <v>0</v>
      </c>
      <c r="C343" s="165">
        <f>Spieltag!A330</f>
        <v>7</v>
      </c>
      <c r="D343" s="21" t="str">
        <f>Spieltag!B330</f>
        <v>Dejan Ljubicic (A)</v>
      </c>
      <c r="E343" s="150" t="str">
        <f>Spieltag!C330</f>
        <v>Mittelfeld</v>
      </c>
      <c r="F343" s="151" t="s">
        <v>176</v>
      </c>
      <c r="G343" s="152"/>
      <c r="H343" s="153">
        <f t="shared" ref="H343:H350" si="1076">IF(G343="x",10,0)</f>
        <v>0</v>
      </c>
      <c r="I343" s="152"/>
      <c r="J343" s="153">
        <f t="shared" ref="J343:J350" si="1077">IF((I343="x"),-10,0)</f>
        <v>0</v>
      </c>
      <c r="K343" s="152"/>
      <c r="L343" s="153">
        <f t="shared" ref="L343:L350" si="1078">IF((K343="x"),-20,0)</f>
        <v>0</v>
      </c>
      <c r="M343" s="152"/>
      <c r="N343" s="153">
        <f t="shared" ref="N343:N350" si="1079">IF((M343="x"),-30,0)</f>
        <v>0</v>
      </c>
      <c r="O343" s="154">
        <f t="shared" si="1073"/>
        <v>0</v>
      </c>
      <c r="P343" s="154">
        <f t="shared" si="1074"/>
        <v>-5</v>
      </c>
      <c r="Q343" s="154">
        <f t="shared" si="1075"/>
        <v>-10</v>
      </c>
      <c r="R343" s="152"/>
      <c r="S343" s="153">
        <f t="shared" ref="S343:S350" si="1080">R343*10</f>
        <v>0</v>
      </c>
      <c r="T343" s="152"/>
      <c r="U343" s="153">
        <f t="shared" ref="U343:U350" si="1081">T343*-15</f>
        <v>0</v>
      </c>
      <c r="V343" s="154">
        <f t="shared" ref="V343:V350" si="1082">IF(AND(R343=2),10,IF(R343=3,30,IF(R343=4,50,IF(R343=5,70,0))))</f>
        <v>0</v>
      </c>
      <c r="W343" s="155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49">
        <f>COUNTA(Spieltag!K331:AA331)</f>
        <v>0</v>
      </c>
      <c r="C344" s="165">
        <f>Spieltag!A331</f>
        <v>8</v>
      </c>
      <c r="D344" s="21" t="str">
        <f>Spieltag!B331</f>
        <v>Denis Huseinbašić</v>
      </c>
      <c r="E344" s="150" t="str">
        <f>Spieltag!C331</f>
        <v>Mittelfeld</v>
      </c>
      <c r="F344" s="151" t="s">
        <v>176</v>
      </c>
      <c r="G344" s="152"/>
      <c r="H344" s="153">
        <f t="shared" si="1076"/>
        <v>0</v>
      </c>
      <c r="I344" s="152"/>
      <c r="J344" s="153">
        <f t="shared" si="1077"/>
        <v>0</v>
      </c>
      <c r="K344" s="152"/>
      <c r="L344" s="153">
        <f t="shared" si="1078"/>
        <v>0</v>
      </c>
      <c r="M344" s="152"/>
      <c r="N344" s="153">
        <f t="shared" si="1079"/>
        <v>0</v>
      </c>
      <c r="O344" s="154">
        <f t="shared" si="1073"/>
        <v>0</v>
      </c>
      <c r="P344" s="154">
        <f t="shared" si="1074"/>
        <v>-5</v>
      </c>
      <c r="Q344" s="154">
        <f t="shared" si="1075"/>
        <v>-10</v>
      </c>
      <c r="R344" s="152"/>
      <c r="S344" s="153">
        <f t="shared" si="1080"/>
        <v>0</v>
      </c>
      <c r="T344" s="152"/>
      <c r="U344" s="153">
        <f t="shared" si="1081"/>
        <v>0</v>
      </c>
      <c r="V344" s="154">
        <f t="shared" si="1082"/>
        <v>0</v>
      </c>
      <c r="W344" s="155">
        <f t="shared" si="1083"/>
        <v>0</v>
      </c>
    </row>
    <row r="345" spans="1:23" ht="10.5" hidden="1" customHeight="1" x14ac:dyDescent="0.2">
      <c r="A345" s="11"/>
      <c r="B345" s="149">
        <f>COUNTA(Spieltag!K332:AA332)</f>
        <v>0</v>
      </c>
      <c r="C345" s="165">
        <f>Spieltag!A332</f>
        <v>11</v>
      </c>
      <c r="D345" s="21" t="str">
        <f>Spieltag!B332</f>
        <v>Florian Kainz (A)</v>
      </c>
      <c r="E345" s="150" t="str">
        <f>Spieltag!C332</f>
        <v>Mittelfeld</v>
      </c>
      <c r="F345" s="151" t="s">
        <v>176</v>
      </c>
      <c r="G345" s="152"/>
      <c r="H345" s="153">
        <f t="shared" si="1076"/>
        <v>0</v>
      </c>
      <c r="I345" s="152"/>
      <c r="J345" s="153">
        <f t="shared" si="1077"/>
        <v>0</v>
      </c>
      <c r="K345" s="152"/>
      <c r="L345" s="153">
        <f t="shared" si="1078"/>
        <v>0</v>
      </c>
      <c r="M345" s="152"/>
      <c r="N345" s="153">
        <f t="shared" si="1079"/>
        <v>0</v>
      </c>
      <c r="O345" s="154">
        <f t="shared" si="1073"/>
        <v>0</v>
      </c>
      <c r="P345" s="154">
        <f t="shared" si="1074"/>
        <v>-5</v>
      </c>
      <c r="Q345" s="154">
        <f t="shared" si="1075"/>
        <v>-10</v>
      </c>
      <c r="R345" s="152"/>
      <c r="S345" s="153">
        <f t="shared" si="1080"/>
        <v>0</v>
      </c>
      <c r="T345" s="152"/>
      <c r="U345" s="153">
        <f t="shared" si="1081"/>
        <v>0</v>
      </c>
      <c r="V345" s="154">
        <f t="shared" si="1082"/>
        <v>0</v>
      </c>
      <c r="W345" s="155">
        <f t="shared" si="1083"/>
        <v>0</v>
      </c>
    </row>
    <row r="346" spans="1:23" ht="10.5" hidden="1" customHeight="1" x14ac:dyDescent="0.2">
      <c r="A346" s="11"/>
      <c r="B346" s="149">
        <f>COUNTA(Spieltag!K333:AA333)</f>
        <v>0</v>
      </c>
      <c r="C346" s="165">
        <f>Spieltag!A333</f>
        <v>22</v>
      </c>
      <c r="D346" s="21" t="str">
        <f>Spieltag!B333</f>
        <v>Jacob Christensen (A)</v>
      </c>
      <c r="E346" s="150" t="str">
        <f>Spieltag!C333</f>
        <v>Mittelfeld</v>
      </c>
      <c r="F346" s="151" t="s">
        <v>176</v>
      </c>
      <c r="G346" s="152"/>
      <c r="H346" s="153">
        <f t="shared" si="1076"/>
        <v>0</v>
      </c>
      <c r="I346" s="152"/>
      <c r="J346" s="153">
        <f t="shared" si="1077"/>
        <v>0</v>
      </c>
      <c r="K346" s="152"/>
      <c r="L346" s="153">
        <f t="shared" si="1078"/>
        <v>0</v>
      </c>
      <c r="M346" s="152"/>
      <c r="N346" s="153">
        <f t="shared" si="1079"/>
        <v>0</v>
      </c>
      <c r="O346" s="154">
        <f t="shared" si="1073"/>
        <v>0</v>
      </c>
      <c r="P346" s="154">
        <f t="shared" si="1074"/>
        <v>-5</v>
      </c>
      <c r="Q346" s="154">
        <f t="shared" si="1075"/>
        <v>-10</v>
      </c>
      <c r="R346" s="152"/>
      <c r="S346" s="153">
        <f t="shared" si="1080"/>
        <v>0</v>
      </c>
      <c r="T346" s="152"/>
      <c r="U346" s="153">
        <f t="shared" si="1081"/>
        <v>0</v>
      </c>
      <c r="V346" s="154">
        <f t="shared" si="1082"/>
        <v>0</v>
      </c>
      <c r="W346" s="155">
        <f t="shared" si="1083"/>
        <v>0</v>
      </c>
    </row>
    <row r="347" spans="1:23" ht="10.5" hidden="1" customHeight="1" x14ac:dyDescent="0.2">
      <c r="A347" s="11"/>
      <c r="B347" s="149">
        <f>COUNTA(Spieltag!K334:AA334)</f>
        <v>0</v>
      </c>
      <c r="C347" s="165">
        <f>Spieltag!A334</f>
        <v>29</v>
      </c>
      <c r="D347" s="21" t="str">
        <f>Spieltag!B334</f>
        <v>Jan Thielmann</v>
      </c>
      <c r="E347" s="150" t="str">
        <f>Spieltag!C334</f>
        <v>Mittelfeld</v>
      </c>
      <c r="F347" s="151" t="s">
        <v>176</v>
      </c>
      <c r="G347" s="152"/>
      <c r="H347" s="153">
        <f t="shared" si="1076"/>
        <v>0</v>
      </c>
      <c r="I347" s="152"/>
      <c r="J347" s="153">
        <f t="shared" si="1077"/>
        <v>0</v>
      </c>
      <c r="K347" s="152"/>
      <c r="L347" s="153">
        <f t="shared" si="1078"/>
        <v>0</v>
      </c>
      <c r="M347" s="152"/>
      <c r="N347" s="153">
        <f t="shared" si="1079"/>
        <v>0</v>
      </c>
      <c r="O347" s="154">
        <f t="shared" si="1073"/>
        <v>0</v>
      </c>
      <c r="P347" s="154">
        <f t="shared" si="1074"/>
        <v>-5</v>
      </c>
      <c r="Q347" s="154">
        <f t="shared" si="1075"/>
        <v>-10</v>
      </c>
      <c r="R347" s="152"/>
      <c r="S347" s="153">
        <f t="shared" si="1080"/>
        <v>0</v>
      </c>
      <c r="T347" s="152"/>
      <c r="U347" s="153">
        <f t="shared" si="1081"/>
        <v>0</v>
      </c>
      <c r="V347" s="154">
        <f t="shared" si="1082"/>
        <v>0</v>
      </c>
      <c r="W347" s="155">
        <f t="shared" si="1083"/>
        <v>0</v>
      </c>
    </row>
    <row r="348" spans="1:23" ht="10.5" hidden="1" customHeight="1" x14ac:dyDescent="0.2">
      <c r="A348" s="11"/>
      <c r="B348" s="149">
        <f>COUNTA(Spieltag!K335:AA335)</f>
        <v>0</v>
      </c>
      <c r="C348" s="165">
        <f>Spieltag!A335</f>
        <v>36</v>
      </c>
      <c r="D348" s="21" t="str">
        <f>Spieltag!B335</f>
        <v>Meiko Wäschenbach</v>
      </c>
      <c r="E348" s="150" t="str">
        <f>Spieltag!C335</f>
        <v>Mittelfeld</v>
      </c>
      <c r="F348" s="151" t="s">
        <v>176</v>
      </c>
      <c r="G348" s="152"/>
      <c r="H348" s="153">
        <f t="shared" ref="H348" si="1084">IF(G348="x",10,0)</f>
        <v>0</v>
      </c>
      <c r="I348" s="152"/>
      <c r="J348" s="153">
        <f t="shared" ref="J348" si="1085">IF((I348="x"),-10,0)</f>
        <v>0</v>
      </c>
      <c r="K348" s="152"/>
      <c r="L348" s="153">
        <f t="shared" ref="L348" si="1086">IF((K348="x"),-20,0)</f>
        <v>0</v>
      </c>
      <c r="M348" s="152"/>
      <c r="N348" s="153">
        <f t="shared" ref="N348" si="1087">IF((M348="x"),-30,0)</f>
        <v>0</v>
      </c>
      <c r="O348" s="154">
        <f t="shared" si="1073"/>
        <v>0</v>
      </c>
      <c r="P348" s="154">
        <f t="shared" si="1074"/>
        <v>-5</v>
      </c>
      <c r="Q348" s="154">
        <f t="shared" si="1075"/>
        <v>-10</v>
      </c>
      <c r="R348" s="152"/>
      <c r="S348" s="153">
        <f t="shared" ref="S348" si="1088">R348*10</f>
        <v>0</v>
      </c>
      <c r="T348" s="152"/>
      <c r="U348" s="153">
        <f t="shared" ref="U348" si="1089">T348*-15</f>
        <v>0</v>
      </c>
      <c r="V348" s="154">
        <f t="shared" ref="V348" si="1090">IF(AND(R348=2),10,IF(R348=3,30,IF(R348=4,50,IF(R348=5,70,0))))</f>
        <v>0</v>
      </c>
      <c r="W348" s="155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49">
        <f>COUNTA(Spieltag!K336:AA336)</f>
        <v>0</v>
      </c>
      <c r="C349" s="165">
        <f>Spieltag!A336</f>
        <v>37</v>
      </c>
      <c r="D349" s="21" t="str">
        <f>Spieltag!B336</f>
        <v>Linton Maina</v>
      </c>
      <c r="E349" s="150" t="str">
        <f>Spieltag!C336</f>
        <v>Mittelfeld</v>
      </c>
      <c r="F349" s="151" t="s">
        <v>176</v>
      </c>
      <c r="G349" s="152"/>
      <c r="H349" s="153">
        <f t="shared" si="1076"/>
        <v>0</v>
      </c>
      <c r="I349" s="152"/>
      <c r="J349" s="153">
        <f t="shared" si="1077"/>
        <v>0</v>
      </c>
      <c r="K349" s="152"/>
      <c r="L349" s="153">
        <f t="shared" si="1078"/>
        <v>0</v>
      </c>
      <c r="M349" s="152"/>
      <c r="N349" s="153">
        <f t="shared" si="1079"/>
        <v>0</v>
      </c>
      <c r="O349" s="154">
        <f t="shared" si="1073"/>
        <v>0</v>
      </c>
      <c r="P349" s="154">
        <f t="shared" si="1074"/>
        <v>-5</v>
      </c>
      <c r="Q349" s="154">
        <f t="shared" si="1075"/>
        <v>-10</v>
      </c>
      <c r="R349" s="152"/>
      <c r="S349" s="153">
        <f t="shared" si="1080"/>
        <v>0</v>
      </c>
      <c r="T349" s="152"/>
      <c r="U349" s="153">
        <f t="shared" si="1081"/>
        <v>0</v>
      </c>
      <c r="V349" s="154">
        <f t="shared" si="1082"/>
        <v>0</v>
      </c>
      <c r="W349" s="155">
        <f t="shared" si="1083"/>
        <v>0</v>
      </c>
    </row>
    <row r="350" spans="1:23" ht="10.5" hidden="1" customHeight="1" x14ac:dyDescent="0.2">
      <c r="A350" s="11"/>
      <c r="B350" s="149">
        <f>COUNTA(Spieltag!K337:AA337)</f>
        <v>0</v>
      </c>
      <c r="C350" s="165">
        <f>Spieltag!A337</f>
        <v>40</v>
      </c>
      <c r="D350" s="21" t="str">
        <f>Spieltag!B337</f>
        <v>Faride Alidou</v>
      </c>
      <c r="E350" s="150" t="str">
        <f>Spieltag!C337</f>
        <v>Mittelfeld</v>
      </c>
      <c r="F350" s="151" t="s">
        <v>176</v>
      </c>
      <c r="G350" s="152"/>
      <c r="H350" s="153">
        <f t="shared" si="1076"/>
        <v>0</v>
      </c>
      <c r="I350" s="152"/>
      <c r="J350" s="153">
        <f t="shared" si="1077"/>
        <v>0</v>
      </c>
      <c r="K350" s="152"/>
      <c r="L350" s="153">
        <f t="shared" si="1078"/>
        <v>0</v>
      </c>
      <c r="M350" s="152"/>
      <c r="N350" s="153">
        <f t="shared" si="1079"/>
        <v>0</v>
      </c>
      <c r="O350" s="154">
        <f t="shared" si="1073"/>
        <v>0</v>
      </c>
      <c r="P350" s="154">
        <f t="shared" si="1074"/>
        <v>-5</v>
      </c>
      <c r="Q350" s="154">
        <f t="shared" si="1075"/>
        <v>-10</v>
      </c>
      <c r="R350" s="152"/>
      <c r="S350" s="153">
        <f t="shared" si="1080"/>
        <v>0</v>
      </c>
      <c r="T350" s="152"/>
      <c r="U350" s="153">
        <f t="shared" si="1081"/>
        <v>0</v>
      </c>
      <c r="V350" s="154">
        <f t="shared" si="1082"/>
        <v>0</v>
      </c>
      <c r="W350" s="155">
        <f t="shared" si="1083"/>
        <v>0</v>
      </c>
    </row>
    <row r="351" spans="1:23" ht="10.5" hidden="1" customHeight="1" x14ac:dyDescent="0.2">
      <c r="A351" s="11"/>
      <c r="B351" s="149">
        <f>COUNTA(Spieltag!K338:AA338)</f>
        <v>0</v>
      </c>
      <c r="C351" s="165">
        <f>Spieltag!A338</f>
        <v>9</v>
      </c>
      <c r="D351" s="21" t="str">
        <f>Spieltag!B338</f>
        <v>Luca Waldschmidt</v>
      </c>
      <c r="E351" s="150" t="str">
        <f>Spieltag!C338</f>
        <v>Sturm</v>
      </c>
      <c r="F351" s="151" t="s">
        <v>176</v>
      </c>
      <c r="G351" s="152"/>
      <c r="H351" s="153">
        <f>IF(G351="x",10,0)</f>
        <v>0</v>
      </c>
      <c r="I351" s="152"/>
      <c r="J351" s="153">
        <f>IF((I351="x"),-10,0)</f>
        <v>0</v>
      </c>
      <c r="K351" s="152"/>
      <c r="L351" s="153">
        <f>IF((K351="x"),-20,0)</f>
        <v>0</v>
      </c>
      <c r="M351" s="152"/>
      <c r="N351" s="153">
        <f>IF((M351="x"),-30,0)</f>
        <v>0</v>
      </c>
      <c r="O351" s="154">
        <f t="shared" si="1073"/>
        <v>0</v>
      </c>
      <c r="P351" s="154">
        <f t="shared" si="1074"/>
        <v>-5</v>
      </c>
      <c r="Q351" s="154">
        <f>IF(($W$5&lt;&gt;0),$W$5*-10,5)</f>
        <v>-10</v>
      </c>
      <c r="R351" s="152"/>
      <c r="S351" s="153">
        <f>R351*10</f>
        <v>0</v>
      </c>
      <c r="T351" s="152"/>
      <c r="U351" s="153">
        <f>T351*-15</f>
        <v>0</v>
      </c>
      <c r="V351" s="154">
        <f>IF(AND(R351=2),10,IF(R351=3,30,IF(R351=4,50,IF(R351=5,70,0))))</f>
        <v>0</v>
      </c>
      <c r="W351" s="155">
        <f>IF(G351="x",H351+J351+L351+N351+O351+P351+Q351+S351+U351+V351,0)</f>
        <v>0</v>
      </c>
    </row>
    <row r="352" spans="1:23" ht="10.5" hidden="1" customHeight="1" x14ac:dyDescent="0.2">
      <c r="A352" s="11"/>
      <c r="B352" s="149">
        <f>COUNTA(Spieltag!K339:AA339)</f>
        <v>0</v>
      </c>
      <c r="C352" s="165">
        <f>Spieltag!A339</f>
        <v>13</v>
      </c>
      <c r="D352" s="21" t="str">
        <f>Spieltag!B339</f>
        <v>Mark Uth</v>
      </c>
      <c r="E352" s="150" t="str">
        <f>Spieltag!C339</f>
        <v>Sturm</v>
      </c>
      <c r="F352" s="151" t="s">
        <v>176</v>
      </c>
      <c r="G352" s="152"/>
      <c r="H352" s="153">
        <f t="shared" ref="H352:H357" si="1092">IF(G352="x",10,0)</f>
        <v>0</v>
      </c>
      <c r="I352" s="152"/>
      <c r="J352" s="153">
        <f t="shared" ref="J352:J357" si="1093">IF((I352="x"),-10,0)</f>
        <v>0</v>
      </c>
      <c r="K352" s="152"/>
      <c r="L352" s="153">
        <f t="shared" ref="L352:L357" si="1094">IF((K352="x"),-20,0)</f>
        <v>0</v>
      </c>
      <c r="M352" s="152"/>
      <c r="N352" s="153">
        <f t="shared" ref="N352:N357" si="1095">IF((M352="x"),-30,0)</f>
        <v>0</v>
      </c>
      <c r="O352" s="154">
        <f t="shared" si="1073"/>
        <v>0</v>
      </c>
      <c r="P352" s="154">
        <f t="shared" si="1074"/>
        <v>-5</v>
      </c>
      <c r="Q352" s="154">
        <f t="shared" ref="Q352:Q358" si="1096">IF(($W$5&lt;&gt;0),$W$5*-10,5)</f>
        <v>-10</v>
      </c>
      <c r="R352" s="152"/>
      <c r="S352" s="153">
        <f t="shared" ref="S352:S357" si="1097">R352*10</f>
        <v>0</v>
      </c>
      <c r="T352" s="152"/>
      <c r="U352" s="153">
        <f t="shared" ref="U352:U357" si="1098">T352*-15</f>
        <v>0</v>
      </c>
      <c r="V352" s="154">
        <f t="shared" ref="V352:V357" si="1099">IF(AND(R352=2),10,IF(R352=3,30,IF(R352=4,50,IF(R352=5,70,0))))</f>
        <v>0</v>
      </c>
      <c r="W352" s="155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49">
        <f>COUNTA(Spieltag!K340:AA340)</f>
        <v>0</v>
      </c>
      <c r="C353" s="165">
        <f>Spieltag!A340</f>
        <v>21</v>
      </c>
      <c r="D353" s="21" t="str">
        <f>Spieltag!B340</f>
        <v>Steffen Tigges</v>
      </c>
      <c r="E353" s="150" t="str">
        <f>Spieltag!C340</f>
        <v>Sturm</v>
      </c>
      <c r="F353" s="151" t="s">
        <v>176</v>
      </c>
      <c r="G353" s="152"/>
      <c r="H353" s="153">
        <f t="shared" si="1092"/>
        <v>0</v>
      </c>
      <c r="I353" s="152"/>
      <c r="J353" s="153">
        <f t="shared" si="1093"/>
        <v>0</v>
      </c>
      <c r="K353" s="152"/>
      <c r="L353" s="153">
        <f t="shared" si="1094"/>
        <v>0</v>
      </c>
      <c r="M353" s="152"/>
      <c r="N353" s="153">
        <f t="shared" si="1095"/>
        <v>0</v>
      </c>
      <c r="O353" s="154">
        <f t="shared" si="1073"/>
        <v>0</v>
      </c>
      <c r="P353" s="154">
        <f t="shared" si="1074"/>
        <v>-5</v>
      </c>
      <c r="Q353" s="154">
        <f t="shared" si="1096"/>
        <v>-10</v>
      </c>
      <c r="R353" s="152"/>
      <c r="S353" s="153">
        <f t="shared" si="1097"/>
        <v>0</v>
      </c>
      <c r="T353" s="152"/>
      <c r="U353" s="153">
        <f t="shared" si="1098"/>
        <v>0</v>
      </c>
      <c r="V353" s="154">
        <f t="shared" si="1099"/>
        <v>0</v>
      </c>
      <c r="W353" s="155">
        <f t="shared" si="1100"/>
        <v>0</v>
      </c>
    </row>
    <row r="354" spans="1:23" ht="10.5" hidden="1" customHeight="1" x14ac:dyDescent="0.2">
      <c r="A354" s="11"/>
      <c r="B354" s="149">
        <f>COUNTA(Spieltag!K341:AA341)</f>
        <v>0</v>
      </c>
      <c r="C354" s="165">
        <f>Spieltag!A341</f>
        <v>23</v>
      </c>
      <c r="D354" s="21" t="str">
        <f>Spieltag!B341</f>
        <v>Sargis Adamyan (A)</v>
      </c>
      <c r="E354" s="150" t="str">
        <f>Spieltag!C341</f>
        <v>Sturm</v>
      </c>
      <c r="F354" s="151" t="s">
        <v>176</v>
      </c>
      <c r="G354" s="152"/>
      <c r="H354" s="153">
        <f t="shared" si="1092"/>
        <v>0</v>
      </c>
      <c r="I354" s="152"/>
      <c r="J354" s="153">
        <f t="shared" si="1093"/>
        <v>0</v>
      </c>
      <c r="K354" s="152"/>
      <c r="L354" s="153">
        <f t="shared" si="1094"/>
        <v>0</v>
      </c>
      <c r="M354" s="152"/>
      <c r="N354" s="153">
        <f t="shared" si="1095"/>
        <v>0</v>
      </c>
      <c r="O354" s="154">
        <f t="shared" si="1073"/>
        <v>0</v>
      </c>
      <c r="P354" s="154">
        <f t="shared" si="1074"/>
        <v>-5</v>
      </c>
      <c r="Q354" s="154">
        <f t="shared" si="1096"/>
        <v>-10</v>
      </c>
      <c r="R354" s="152"/>
      <c r="S354" s="153">
        <f t="shared" si="1097"/>
        <v>0</v>
      </c>
      <c r="T354" s="152"/>
      <c r="U354" s="153">
        <f t="shared" si="1098"/>
        <v>0</v>
      </c>
      <c r="V354" s="154">
        <f t="shared" si="1099"/>
        <v>0</v>
      </c>
      <c r="W354" s="155">
        <f t="shared" si="1100"/>
        <v>0</v>
      </c>
    </row>
    <row r="355" spans="1:23" ht="10.5" hidden="1" customHeight="1" x14ac:dyDescent="0.2">
      <c r="A355" s="11"/>
      <c r="B355" s="149">
        <f>COUNTA(Spieltag!K342:AA342)</f>
        <v>0</v>
      </c>
      <c r="C355" s="165">
        <f>Spieltag!A342</f>
        <v>27</v>
      </c>
      <c r="D355" s="21" t="str">
        <f>Spieltag!B342</f>
        <v>Davie Selke</v>
      </c>
      <c r="E355" s="150" t="str">
        <f>Spieltag!C342</f>
        <v>Sturm</v>
      </c>
      <c r="F355" s="151" t="s">
        <v>176</v>
      </c>
      <c r="G355" s="152"/>
      <c r="H355" s="153">
        <f t="shared" si="1092"/>
        <v>0</v>
      </c>
      <c r="I355" s="152"/>
      <c r="J355" s="153">
        <f t="shared" si="1093"/>
        <v>0</v>
      </c>
      <c r="K355" s="152"/>
      <c r="L355" s="153">
        <f t="shared" si="1094"/>
        <v>0</v>
      </c>
      <c r="M355" s="152"/>
      <c r="N355" s="153">
        <f t="shared" si="1095"/>
        <v>0</v>
      </c>
      <c r="O355" s="154">
        <f t="shared" si="1073"/>
        <v>0</v>
      </c>
      <c r="P355" s="154">
        <f t="shared" si="1074"/>
        <v>-5</v>
      </c>
      <c r="Q355" s="154">
        <f t="shared" si="1096"/>
        <v>-10</v>
      </c>
      <c r="R355" s="152"/>
      <c r="S355" s="153">
        <f t="shared" si="1097"/>
        <v>0</v>
      </c>
      <c r="T355" s="152"/>
      <c r="U355" s="153">
        <f t="shared" si="1098"/>
        <v>0</v>
      </c>
      <c r="V355" s="154">
        <f t="shared" si="1099"/>
        <v>0</v>
      </c>
      <c r="W355" s="155">
        <f t="shared" si="1100"/>
        <v>0</v>
      </c>
    </row>
    <row r="356" spans="1:23" ht="10.5" hidden="1" customHeight="1" x14ac:dyDescent="0.2">
      <c r="A356" s="11"/>
      <c r="B356" s="149">
        <f>COUNTA(Spieltag!K343:AA343)</f>
        <v>0</v>
      </c>
      <c r="C356" s="165">
        <f>Spieltag!A343</f>
        <v>33</v>
      </c>
      <c r="D356" s="21" t="str">
        <f>Spieltag!B343</f>
        <v>Florian Dietz</v>
      </c>
      <c r="E356" s="150" t="str">
        <f>Spieltag!C343</f>
        <v>Sturm</v>
      </c>
      <c r="F356" s="151" t="s">
        <v>176</v>
      </c>
      <c r="G356" s="152"/>
      <c r="H356" s="153">
        <f t="shared" si="1092"/>
        <v>0</v>
      </c>
      <c r="I356" s="152"/>
      <c r="J356" s="153">
        <f t="shared" si="1093"/>
        <v>0</v>
      </c>
      <c r="K356" s="152"/>
      <c r="L356" s="153">
        <f t="shared" si="1094"/>
        <v>0</v>
      </c>
      <c r="M356" s="152"/>
      <c r="N356" s="153">
        <f t="shared" si="1095"/>
        <v>0</v>
      </c>
      <c r="O356" s="154">
        <f t="shared" si="1073"/>
        <v>0</v>
      </c>
      <c r="P356" s="154">
        <f t="shared" si="1074"/>
        <v>-5</v>
      </c>
      <c r="Q356" s="154">
        <f t="shared" si="1096"/>
        <v>-10</v>
      </c>
      <c r="R356" s="152"/>
      <c r="S356" s="153">
        <f t="shared" si="1097"/>
        <v>0</v>
      </c>
      <c r="T356" s="152"/>
      <c r="U356" s="153">
        <f t="shared" si="1098"/>
        <v>0</v>
      </c>
      <c r="V356" s="154">
        <f t="shared" si="1099"/>
        <v>0</v>
      </c>
      <c r="W356" s="155">
        <f t="shared" si="1100"/>
        <v>0</v>
      </c>
    </row>
    <row r="357" spans="1:23" ht="10.5" hidden="1" customHeight="1" x14ac:dyDescent="0.2">
      <c r="A357" s="11"/>
      <c r="B357" s="149">
        <f>COUNTA(Spieltag!K344:AA344)</f>
        <v>0</v>
      </c>
      <c r="C357" s="165">
        <f>Spieltag!A344</f>
        <v>42</v>
      </c>
      <c r="D357" s="21" t="str">
        <f>Spieltag!B344</f>
        <v>Damian Downs</v>
      </c>
      <c r="E357" s="150" t="str">
        <f>Spieltag!C344</f>
        <v>Sturm</v>
      </c>
      <c r="F357" s="151" t="s">
        <v>176</v>
      </c>
      <c r="G357" s="152"/>
      <c r="H357" s="153">
        <f t="shared" si="1092"/>
        <v>0</v>
      </c>
      <c r="I357" s="152"/>
      <c r="J357" s="153">
        <f t="shared" si="1093"/>
        <v>0</v>
      </c>
      <c r="K357" s="152"/>
      <c r="L357" s="153">
        <f t="shared" si="1094"/>
        <v>0</v>
      </c>
      <c r="M357" s="152"/>
      <c r="N357" s="153">
        <f t="shared" si="1095"/>
        <v>0</v>
      </c>
      <c r="O357" s="154">
        <f t="shared" si="1073"/>
        <v>0</v>
      </c>
      <c r="P357" s="154">
        <f t="shared" si="1074"/>
        <v>-5</v>
      </c>
      <c r="Q357" s="154">
        <f t="shared" si="1096"/>
        <v>-10</v>
      </c>
      <c r="R357" s="152"/>
      <c r="S357" s="153">
        <f t="shared" si="1097"/>
        <v>0</v>
      </c>
      <c r="T357" s="152"/>
      <c r="U357" s="153">
        <f t="shared" si="1098"/>
        <v>0</v>
      </c>
      <c r="V357" s="154">
        <f t="shared" si="1099"/>
        <v>0</v>
      </c>
      <c r="W357" s="155">
        <f t="shared" si="1100"/>
        <v>0</v>
      </c>
    </row>
    <row r="358" spans="1:23" ht="10.5" hidden="1" customHeight="1" x14ac:dyDescent="0.2">
      <c r="A358" s="11"/>
      <c r="B358" s="149">
        <f>COUNTA(Spieltag!K345:AA345)</f>
        <v>0</v>
      </c>
      <c r="C358" s="165">
        <f>Spieltag!A345</f>
        <v>45</v>
      </c>
      <c r="D358" s="21" t="str">
        <f>Spieltag!B345</f>
        <v>Justin Diehl</v>
      </c>
      <c r="E358" s="150" t="str">
        <f>Spieltag!C345</f>
        <v>Sturm</v>
      </c>
      <c r="F358" s="151" t="s">
        <v>176</v>
      </c>
      <c r="G358" s="152"/>
      <c r="H358" s="153">
        <f t="shared" ref="H358" si="1101">IF(G358="x",10,0)</f>
        <v>0</v>
      </c>
      <c r="I358" s="152"/>
      <c r="J358" s="153">
        <f t="shared" ref="J358" si="1102">IF((I358="x"),-10,0)</f>
        <v>0</v>
      </c>
      <c r="K358" s="152"/>
      <c r="L358" s="153">
        <f t="shared" ref="L358" si="1103">IF((K358="x"),-20,0)</f>
        <v>0</v>
      </c>
      <c r="M358" s="152"/>
      <c r="N358" s="153">
        <f t="shared" ref="N358" si="1104">IF((M358="x"),-30,0)</f>
        <v>0</v>
      </c>
      <c r="O358" s="154">
        <f t="shared" si="1073"/>
        <v>0</v>
      </c>
      <c r="P358" s="154">
        <f t="shared" si="1074"/>
        <v>-5</v>
      </c>
      <c r="Q358" s="154">
        <f t="shared" si="1096"/>
        <v>-10</v>
      </c>
      <c r="R358" s="152"/>
      <c r="S358" s="153">
        <f t="shared" ref="S358" si="1105">R358*10</f>
        <v>0</v>
      </c>
      <c r="T358" s="152"/>
      <c r="U358" s="153">
        <f t="shared" ref="U358" si="1106">T358*-15</f>
        <v>0</v>
      </c>
      <c r="V358" s="154">
        <f t="shared" ref="V358" si="1107">IF(AND(R358=2),10,IF(R358=3,30,IF(R358=4,50,IF(R358=5,70,0))))</f>
        <v>0</v>
      </c>
      <c r="W358" s="155">
        <f t="shared" ref="W358" si="1108">IF(G358="x",H358+J358+L358+N358+O358+P358+Q358+S358+U358+V358,0)</f>
        <v>0</v>
      </c>
    </row>
    <row r="359" spans="1:23" s="143" customFormat="1" ht="17.25" thickBot="1" x14ac:dyDescent="0.25">
      <c r="A359" s="141"/>
      <c r="B359" s="142">
        <f>SUM(B360:B385)</f>
        <v>3</v>
      </c>
      <c r="C359" s="157"/>
      <c r="D359" s="220" t="s">
        <v>119</v>
      </c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1"/>
    </row>
    <row r="360" spans="1:23" ht="10.5" customHeight="1" x14ac:dyDescent="0.2">
      <c r="A360" s="11"/>
      <c r="B360" s="149">
        <f>COUNTA(Spieltag!K347:AA347)</f>
        <v>2</v>
      </c>
      <c r="C360" s="165">
        <f>Spieltag!A347</f>
        <v>1</v>
      </c>
      <c r="D360" s="21" t="str">
        <f>Spieltag!B347</f>
        <v>Oliver Baumann</v>
      </c>
      <c r="E360" s="150" t="str">
        <f>Spieltag!C347</f>
        <v>Torwart</v>
      </c>
      <c r="F360" s="151" t="s">
        <v>77</v>
      </c>
      <c r="G360" s="152" t="s">
        <v>678</v>
      </c>
      <c r="H360" s="153">
        <f t="shared" ref="H360" si="1109">IF(G360="x",10,0)</f>
        <v>10</v>
      </c>
      <c r="I360" s="152"/>
      <c r="J360" s="153">
        <f t="shared" ref="J360" si="1110">IF((I360="x"),-10,0)</f>
        <v>0</v>
      </c>
      <c r="K360" s="152"/>
      <c r="L360" s="153">
        <f t="shared" ref="L360" si="1111">IF((K360="x"),-20,0)</f>
        <v>0</v>
      </c>
      <c r="M360" s="152"/>
      <c r="N360" s="153">
        <f t="shared" ref="N360" si="1112">IF((M360="x"),-30,0)</f>
        <v>0</v>
      </c>
      <c r="O360" s="154">
        <f t="shared" ref="O360:O385" si="1113">IF(AND($V$3&gt;$W$3),20,IF($V$3=$W$3,10,0))</f>
        <v>0</v>
      </c>
      <c r="P360" s="154">
        <f t="shared" ref="P360:P385" si="1114">IF(($V$3&lt;&gt;0),$V$3*10,-5)</f>
        <v>-5</v>
      </c>
      <c r="Q360" s="154">
        <f>IF(($W$3&lt;&gt;0),$W$3*-10,20)</f>
        <v>-10</v>
      </c>
      <c r="R360" s="152"/>
      <c r="S360" s="153">
        <f>R360*20</f>
        <v>0</v>
      </c>
      <c r="T360" s="152"/>
      <c r="U360" s="153">
        <f t="shared" ref="U360" si="1115">T360*-15</f>
        <v>0</v>
      </c>
      <c r="V360" s="154">
        <f t="shared" ref="V360" si="1116">IF(AND(R360=2),10,IF(R360=3,30,IF(R360=4,50,IF(R360=5,70,0))))</f>
        <v>0</v>
      </c>
      <c r="W360" s="155">
        <f t="shared" ref="W360" si="1117">IF(G360="x",H360+J360+L360+N360+O360+P360+Q360+S360+U360+V360,0)</f>
        <v>-5</v>
      </c>
    </row>
    <row r="361" spans="1:23" ht="10.5" hidden="1" customHeight="1" x14ac:dyDescent="0.2">
      <c r="A361" s="11"/>
      <c r="B361" s="149">
        <f>COUNTA(Spieltag!K348:AA348)</f>
        <v>0</v>
      </c>
      <c r="C361" s="165">
        <f>Spieltag!A348</f>
        <v>36</v>
      </c>
      <c r="D361" s="21" t="str">
        <f>Spieltag!B348</f>
        <v>Nahuell Noll</v>
      </c>
      <c r="E361" s="150" t="str">
        <f>Spieltag!C348</f>
        <v>Torwart</v>
      </c>
      <c r="F361" s="151" t="s">
        <v>77</v>
      </c>
      <c r="G361" s="152"/>
      <c r="H361" s="153">
        <f t="shared" ref="H361:H362" si="1118">IF(G361="x",10,0)</f>
        <v>0</v>
      </c>
      <c r="I361" s="152"/>
      <c r="J361" s="153">
        <f t="shared" ref="J361:J362" si="1119">IF((I361="x"),-10,0)</f>
        <v>0</v>
      </c>
      <c r="K361" s="152"/>
      <c r="L361" s="153">
        <f t="shared" ref="L361:L362" si="1120">IF((K361="x"),-20,0)</f>
        <v>0</v>
      </c>
      <c r="M361" s="152"/>
      <c r="N361" s="153">
        <f t="shared" ref="N361:N362" si="1121">IF((M361="x"),-30,0)</f>
        <v>0</v>
      </c>
      <c r="O361" s="154">
        <f t="shared" si="1113"/>
        <v>0</v>
      </c>
      <c r="P361" s="154">
        <f t="shared" si="1114"/>
        <v>-5</v>
      </c>
      <c r="Q361" s="154">
        <f t="shared" ref="Q361:Q362" si="1122">IF(($W$3&lt;&gt;0),$W$3*-10,20)</f>
        <v>-10</v>
      </c>
      <c r="R361" s="152"/>
      <c r="S361" s="153">
        <f t="shared" ref="S361:S362" si="1123">R361*20</f>
        <v>0</v>
      </c>
      <c r="T361" s="152"/>
      <c r="U361" s="153">
        <f t="shared" ref="U361:U362" si="1124">T361*-15</f>
        <v>0</v>
      </c>
      <c r="V361" s="154">
        <f t="shared" ref="V361:V362" si="1125">IF(AND(R361=2),10,IF(R361=3,30,IF(R361=4,50,IF(R361=5,70,0))))</f>
        <v>0</v>
      </c>
      <c r="W361" s="155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49">
        <f>COUNTA(Spieltag!K349:AA349)</f>
        <v>0</v>
      </c>
      <c r="C362" s="165">
        <f>Spieltag!A349</f>
        <v>37</v>
      </c>
      <c r="D362" s="21" t="str">
        <f>Spieltag!B349</f>
        <v>Luca Philipp</v>
      </c>
      <c r="E362" s="150" t="str">
        <f>Spieltag!C349</f>
        <v>Torwart</v>
      </c>
      <c r="F362" s="151" t="s">
        <v>77</v>
      </c>
      <c r="G362" s="152"/>
      <c r="H362" s="153">
        <f t="shared" si="1118"/>
        <v>0</v>
      </c>
      <c r="I362" s="152"/>
      <c r="J362" s="153">
        <f t="shared" si="1119"/>
        <v>0</v>
      </c>
      <c r="K362" s="152"/>
      <c r="L362" s="153">
        <f t="shared" si="1120"/>
        <v>0</v>
      </c>
      <c r="M362" s="152"/>
      <c r="N362" s="153">
        <f t="shared" si="1121"/>
        <v>0</v>
      </c>
      <c r="O362" s="154">
        <f t="shared" si="1113"/>
        <v>0</v>
      </c>
      <c r="P362" s="154">
        <f t="shared" si="1114"/>
        <v>-5</v>
      </c>
      <c r="Q362" s="154">
        <f t="shared" si="1122"/>
        <v>-10</v>
      </c>
      <c r="R362" s="152"/>
      <c r="S362" s="153">
        <f t="shared" si="1123"/>
        <v>0</v>
      </c>
      <c r="T362" s="152"/>
      <c r="U362" s="153">
        <f t="shared" si="1124"/>
        <v>0</v>
      </c>
      <c r="V362" s="154">
        <f t="shared" si="1125"/>
        <v>0</v>
      </c>
      <c r="W362" s="155">
        <f t="shared" si="1126"/>
        <v>0</v>
      </c>
    </row>
    <row r="363" spans="1:23" ht="10.5" hidden="1" customHeight="1" x14ac:dyDescent="0.2">
      <c r="A363" s="11"/>
      <c r="B363" s="149">
        <f>COUNTA(Spieltag!K350:AA350)</f>
        <v>0</v>
      </c>
      <c r="C363" s="165">
        <f>Spieltag!A350</f>
        <v>3</v>
      </c>
      <c r="D363" s="21" t="str">
        <f>Spieltag!B350</f>
        <v>Pavel Kaderábek (A)</v>
      </c>
      <c r="E363" s="150" t="str">
        <f>Spieltag!C350</f>
        <v>Abwehr</v>
      </c>
      <c r="F363" s="151" t="s">
        <v>77</v>
      </c>
      <c r="G363" s="152"/>
      <c r="H363" s="153">
        <f t="shared" ref="H363" si="1127">IF(G363="x",10,0)</f>
        <v>0</v>
      </c>
      <c r="I363" s="152"/>
      <c r="J363" s="153">
        <f t="shared" ref="J363" si="1128">IF((I363="x"),-10,0)</f>
        <v>0</v>
      </c>
      <c r="K363" s="152"/>
      <c r="L363" s="153">
        <f t="shared" ref="L363" si="1129">IF((K363="x"),-20,0)</f>
        <v>0</v>
      </c>
      <c r="M363" s="152"/>
      <c r="N363" s="153">
        <f t="shared" ref="N363" si="1130">IF((M363="x"),-30,0)</f>
        <v>0</v>
      </c>
      <c r="O363" s="154">
        <f t="shared" si="1113"/>
        <v>0</v>
      </c>
      <c r="P363" s="154">
        <f t="shared" si="1114"/>
        <v>-5</v>
      </c>
      <c r="Q363" s="154">
        <f t="shared" ref="Q363:Q369" si="1131">IF(($W$3&lt;&gt;0),$W$3*-10,15)</f>
        <v>-10</v>
      </c>
      <c r="R363" s="152"/>
      <c r="S363" s="153">
        <f t="shared" ref="S363" si="1132">R363*15</f>
        <v>0</v>
      </c>
      <c r="T363" s="152"/>
      <c r="U363" s="153">
        <f t="shared" ref="U363" si="1133">T363*-15</f>
        <v>0</v>
      </c>
      <c r="V363" s="154">
        <f t="shared" ref="V363" si="1134">IF(AND(R363=2),10,IF(R363=3,30,IF(R363=4,50,IF(R363=5,70,0))))</f>
        <v>0</v>
      </c>
      <c r="W363" s="155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49">
        <f>COUNTA(Spieltag!K351:AA351)</f>
        <v>0</v>
      </c>
      <c r="C364" s="165">
        <f>Spieltag!A351</f>
        <v>5</v>
      </c>
      <c r="D364" s="21" t="str">
        <f>Spieltag!B351</f>
        <v>Ozan Kabak (A)</v>
      </c>
      <c r="E364" s="150" t="str">
        <f>Spieltag!C351</f>
        <v>Abwehr</v>
      </c>
      <c r="F364" s="151" t="s">
        <v>77</v>
      </c>
      <c r="G364" s="152"/>
      <c r="H364" s="153">
        <f t="shared" ref="H364:H369" si="1136">IF(G364="x",10,0)</f>
        <v>0</v>
      </c>
      <c r="I364" s="152"/>
      <c r="J364" s="153">
        <f t="shared" ref="J364:J369" si="1137">IF((I364="x"),-10,0)</f>
        <v>0</v>
      </c>
      <c r="K364" s="152"/>
      <c r="L364" s="153">
        <f t="shared" ref="L364:L369" si="1138">IF((K364="x"),-20,0)</f>
        <v>0</v>
      </c>
      <c r="M364" s="152"/>
      <c r="N364" s="153">
        <f t="shared" ref="N364:N369" si="1139">IF((M364="x"),-30,0)</f>
        <v>0</v>
      </c>
      <c r="O364" s="154">
        <f t="shared" si="1113"/>
        <v>0</v>
      </c>
      <c r="P364" s="154">
        <f t="shared" si="1114"/>
        <v>-5</v>
      </c>
      <c r="Q364" s="154">
        <f t="shared" si="1131"/>
        <v>-10</v>
      </c>
      <c r="R364" s="152"/>
      <c r="S364" s="153">
        <f t="shared" ref="S364:S369" si="1140">R364*15</f>
        <v>0</v>
      </c>
      <c r="T364" s="152"/>
      <c r="U364" s="153">
        <f t="shared" ref="U364:U369" si="1141">T364*-15</f>
        <v>0</v>
      </c>
      <c r="V364" s="154">
        <f t="shared" ref="V364:V369" si="1142">IF(AND(R364=2),10,IF(R364=3,30,IF(R364=4,50,IF(R364=5,70,0))))</f>
        <v>0</v>
      </c>
      <c r="W364" s="155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49">
        <f>COUNTA(Spieltag!K352:AA352)</f>
        <v>0</v>
      </c>
      <c r="C365" s="165">
        <f>Spieltag!A352</f>
        <v>15</v>
      </c>
      <c r="D365" s="21" t="str">
        <f>Spieltag!B352</f>
        <v>Kasim Adams (A)</v>
      </c>
      <c r="E365" s="150" t="str">
        <f>Spieltag!C352</f>
        <v>Abwehr</v>
      </c>
      <c r="F365" s="151" t="s">
        <v>77</v>
      </c>
      <c r="G365" s="152"/>
      <c r="H365" s="153">
        <f t="shared" si="1136"/>
        <v>0</v>
      </c>
      <c r="I365" s="152"/>
      <c r="J365" s="153">
        <f t="shared" si="1137"/>
        <v>0</v>
      </c>
      <c r="K365" s="152"/>
      <c r="L365" s="153">
        <f t="shared" si="1138"/>
        <v>0</v>
      </c>
      <c r="M365" s="152"/>
      <c r="N365" s="153">
        <f t="shared" si="1139"/>
        <v>0</v>
      </c>
      <c r="O365" s="154">
        <f t="shared" si="1113"/>
        <v>0</v>
      </c>
      <c r="P365" s="154">
        <f t="shared" si="1114"/>
        <v>-5</v>
      </c>
      <c r="Q365" s="154">
        <f t="shared" si="1131"/>
        <v>-10</v>
      </c>
      <c r="R365" s="152"/>
      <c r="S365" s="153">
        <f t="shared" si="1140"/>
        <v>0</v>
      </c>
      <c r="T365" s="152"/>
      <c r="U365" s="153">
        <f t="shared" si="1141"/>
        <v>0</v>
      </c>
      <c r="V365" s="154">
        <f t="shared" si="1142"/>
        <v>0</v>
      </c>
      <c r="W365" s="155">
        <f t="shared" si="1143"/>
        <v>0</v>
      </c>
    </row>
    <row r="366" spans="1:23" ht="10.5" hidden="1" customHeight="1" x14ac:dyDescent="0.2">
      <c r="A366" s="11"/>
      <c r="B366" s="149">
        <f>COUNTA(Spieltag!K353:AA353)</f>
        <v>0</v>
      </c>
      <c r="C366" s="165">
        <f>Spieltag!A353</f>
        <v>19</v>
      </c>
      <c r="D366" s="21" t="str">
        <f>Spieltag!B353</f>
        <v>David Jurasek (A)</v>
      </c>
      <c r="E366" s="150" t="str">
        <f>Spieltag!C353</f>
        <v>Abwehr</v>
      </c>
      <c r="F366" s="151" t="s">
        <v>77</v>
      </c>
      <c r="G366" s="152"/>
      <c r="H366" s="153">
        <f t="shared" ref="H366" si="1144">IF(G366="x",10,0)</f>
        <v>0</v>
      </c>
      <c r="I366" s="152"/>
      <c r="J366" s="153">
        <f t="shared" ref="J366" si="1145">IF((I366="x"),-10,0)</f>
        <v>0</v>
      </c>
      <c r="K366" s="152"/>
      <c r="L366" s="153">
        <f t="shared" ref="L366" si="1146">IF((K366="x"),-20,0)</f>
        <v>0</v>
      </c>
      <c r="M366" s="152"/>
      <c r="N366" s="153">
        <f t="shared" ref="N366" si="1147">IF((M366="x"),-30,0)</f>
        <v>0</v>
      </c>
      <c r="O366" s="154">
        <f t="shared" si="1113"/>
        <v>0</v>
      </c>
      <c r="P366" s="154">
        <f t="shared" si="1114"/>
        <v>-5</v>
      </c>
      <c r="Q366" s="154">
        <f t="shared" si="1131"/>
        <v>-10</v>
      </c>
      <c r="R366" s="152"/>
      <c r="S366" s="153">
        <f t="shared" ref="S366" si="1148">R366*15</f>
        <v>0</v>
      </c>
      <c r="T366" s="152"/>
      <c r="U366" s="153">
        <f t="shared" ref="U366" si="1149">T366*-15</f>
        <v>0</v>
      </c>
      <c r="V366" s="154">
        <f t="shared" ref="V366" si="1150">IF(AND(R366=2),10,IF(R366=3,30,IF(R366=4,50,IF(R366=5,70,0))))</f>
        <v>0</v>
      </c>
      <c r="W366" s="155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49">
        <f>COUNTA(Spieltag!K354:AA354)</f>
        <v>0</v>
      </c>
      <c r="C367" s="165">
        <f>Spieltag!A354</f>
        <v>23</v>
      </c>
      <c r="D367" s="21" t="str">
        <f>Spieltag!B354</f>
        <v>John Anthony Brooks</v>
      </c>
      <c r="E367" s="150" t="str">
        <f>Spieltag!C354</f>
        <v>Abwehr</v>
      </c>
      <c r="F367" s="151" t="s">
        <v>77</v>
      </c>
      <c r="G367" s="152"/>
      <c r="H367" s="153">
        <f t="shared" si="1136"/>
        <v>0</v>
      </c>
      <c r="I367" s="152"/>
      <c r="J367" s="153">
        <f t="shared" si="1137"/>
        <v>0</v>
      </c>
      <c r="K367" s="152"/>
      <c r="L367" s="153">
        <f t="shared" si="1138"/>
        <v>0</v>
      </c>
      <c r="M367" s="152"/>
      <c r="N367" s="153">
        <f t="shared" si="1139"/>
        <v>0</v>
      </c>
      <c r="O367" s="154">
        <f t="shared" si="1113"/>
        <v>0</v>
      </c>
      <c r="P367" s="154">
        <f t="shared" si="1114"/>
        <v>-5</v>
      </c>
      <c r="Q367" s="154">
        <f t="shared" si="1131"/>
        <v>-10</v>
      </c>
      <c r="R367" s="152"/>
      <c r="S367" s="153">
        <f t="shared" si="1140"/>
        <v>0</v>
      </c>
      <c r="T367" s="152"/>
      <c r="U367" s="153">
        <f t="shared" si="1141"/>
        <v>0</v>
      </c>
      <c r="V367" s="154">
        <f t="shared" si="1142"/>
        <v>0</v>
      </c>
      <c r="W367" s="155">
        <f t="shared" si="1143"/>
        <v>0</v>
      </c>
    </row>
    <row r="368" spans="1:23" ht="10.5" hidden="1" customHeight="1" x14ac:dyDescent="0.2">
      <c r="A368" s="11"/>
      <c r="B368" s="149">
        <f>COUNTA(Spieltag!K355:AA355)</f>
        <v>0</v>
      </c>
      <c r="C368" s="165">
        <f>Spieltag!A355</f>
        <v>25</v>
      </c>
      <c r="D368" s="21" t="str">
        <f>Spieltag!B355</f>
        <v>Kevin Akpoguma</v>
      </c>
      <c r="E368" s="150" t="str">
        <f>Spieltag!C355</f>
        <v>Abwehr</v>
      </c>
      <c r="F368" s="151" t="s">
        <v>77</v>
      </c>
      <c r="G368" s="152"/>
      <c r="H368" s="153">
        <f t="shared" si="1136"/>
        <v>0</v>
      </c>
      <c r="I368" s="152"/>
      <c r="J368" s="153">
        <f t="shared" si="1137"/>
        <v>0</v>
      </c>
      <c r="K368" s="152"/>
      <c r="L368" s="153">
        <f t="shared" si="1138"/>
        <v>0</v>
      </c>
      <c r="M368" s="152"/>
      <c r="N368" s="153">
        <f t="shared" si="1139"/>
        <v>0</v>
      </c>
      <c r="O368" s="154">
        <f t="shared" si="1113"/>
        <v>0</v>
      </c>
      <c r="P368" s="154">
        <f t="shared" si="1114"/>
        <v>-5</v>
      </c>
      <c r="Q368" s="154">
        <f t="shared" si="1131"/>
        <v>-10</v>
      </c>
      <c r="R368" s="152"/>
      <c r="S368" s="153">
        <f t="shared" si="1140"/>
        <v>0</v>
      </c>
      <c r="T368" s="152"/>
      <c r="U368" s="153">
        <f t="shared" si="1141"/>
        <v>0</v>
      </c>
      <c r="V368" s="154">
        <f t="shared" si="1142"/>
        <v>0</v>
      </c>
      <c r="W368" s="155">
        <f t="shared" si="1143"/>
        <v>0</v>
      </c>
    </row>
    <row r="369" spans="1:23" ht="10.5" hidden="1" customHeight="1" x14ac:dyDescent="0.2">
      <c r="A369" s="11"/>
      <c r="B369" s="149">
        <f>COUNTA(Spieltag!K356:AA356)</f>
        <v>0</v>
      </c>
      <c r="C369" s="165">
        <f>Spieltag!A356</f>
        <v>34</v>
      </c>
      <c r="D369" s="21" t="str">
        <f>Spieltag!B356</f>
        <v>Stanley Nsoki (A)</v>
      </c>
      <c r="E369" s="150" t="str">
        <f>Spieltag!C356</f>
        <v>Abwehr</v>
      </c>
      <c r="F369" s="151" t="s">
        <v>77</v>
      </c>
      <c r="G369" s="152"/>
      <c r="H369" s="153">
        <f t="shared" si="1136"/>
        <v>0</v>
      </c>
      <c r="I369" s="152"/>
      <c r="J369" s="153">
        <f t="shared" si="1137"/>
        <v>0</v>
      </c>
      <c r="K369" s="152"/>
      <c r="L369" s="153">
        <f t="shared" si="1138"/>
        <v>0</v>
      </c>
      <c r="M369" s="152"/>
      <c r="N369" s="153">
        <f t="shared" si="1139"/>
        <v>0</v>
      </c>
      <c r="O369" s="154">
        <f t="shared" si="1113"/>
        <v>0</v>
      </c>
      <c r="P369" s="154">
        <f t="shared" si="1114"/>
        <v>-5</v>
      </c>
      <c r="Q369" s="154">
        <f t="shared" si="1131"/>
        <v>-10</v>
      </c>
      <c r="R369" s="152"/>
      <c r="S369" s="153">
        <f t="shared" si="1140"/>
        <v>0</v>
      </c>
      <c r="T369" s="152"/>
      <c r="U369" s="153">
        <f t="shared" si="1141"/>
        <v>0</v>
      </c>
      <c r="V369" s="154">
        <f t="shared" si="1142"/>
        <v>0</v>
      </c>
      <c r="W369" s="155">
        <f t="shared" si="1143"/>
        <v>0</v>
      </c>
    </row>
    <row r="370" spans="1:23" ht="10.5" customHeight="1" x14ac:dyDescent="0.2">
      <c r="A370" s="11"/>
      <c r="B370" s="149">
        <f>COUNTA(Spieltag!K357:AA357)</f>
        <v>1</v>
      </c>
      <c r="C370" s="165">
        <f>Spieltag!A357</f>
        <v>6</v>
      </c>
      <c r="D370" s="21" t="str">
        <f>Spieltag!B357</f>
        <v>Grischa Prömel</v>
      </c>
      <c r="E370" s="150" t="str">
        <f>Spieltag!C357</f>
        <v>Mittelfeld</v>
      </c>
      <c r="F370" s="151" t="s">
        <v>77</v>
      </c>
      <c r="G370" s="152" t="s">
        <v>678</v>
      </c>
      <c r="H370" s="153">
        <f>IF(G370="x",10,0)</f>
        <v>10</v>
      </c>
      <c r="I370" s="152"/>
      <c r="J370" s="153">
        <f>IF((I370="x"),-10,0)</f>
        <v>0</v>
      </c>
      <c r="K370" s="152"/>
      <c r="L370" s="153">
        <f>IF((K370="x"),-20,0)</f>
        <v>0</v>
      </c>
      <c r="M370" s="152"/>
      <c r="N370" s="153">
        <f>IF((M370="x"),-30,0)</f>
        <v>0</v>
      </c>
      <c r="O370" s="154">
        <f t="shared" si="1113"/>
        <v>0</v>
      </c>
      <c r="P370" s="154">
        <f t="shared" si="1114"/>
        <v>-5</v>
      </c>
      <c r="Q370" s="154">
        <f t="shared" ref="Q370:Q378" si="1152">IF(($W$3&lt;&gt;0),$W$3*-10,10)</f>
        <v>-10</v>
      </c>
      <c r="R370" s="152"/>
      <c r="S370" s="153">
        <f>R370*10</f>
        <v>0</v>
      </c>
      <c r="T370" s="152"/>
      <c r="U370" s="153">
        <f>T370*-15</f>
        <v>0</v>
      </c>
      <c r="V370" s="154">
        <f>IF(AND(R370=2),10,IF(R370=3,30,IF(R370=4,50,IF(R370=5,70,0))))</f>
        <v>0</v>
      </c>
      <c r="W370" s="155">
        <f>IF(G370="x",H370+J370+L370+N370+O370+P370+Q370+S370+U370+V370,0)</f>
        <v>-5</v>
      </c>
    </row>
    <row r="371" spans="1:23" ht="10.5" hidden="1" customHeight="1" x14ac:dyDescent="0.2">
      <c r="A371" s="11"/>
      <c r="B371" s="149">
        <f>COUNTA(Spieltag!K358:AA358)</f>
        <v>0</v>
      </c>
      <c r="C371" s="165">
        <f>Spieltag!A358</f>
        <v>8</v>
      </c>
      <c r="D371" s="21" t="str">
        <f>Spieltag!B358</f>
        <v>Dennis Geiger</v>
      </c>
      <c r="E371" s="150" t="str">
        <f>Spieltag!C358</f>
        <v>Mittelfeld</v>
      </c>
      <c r="F371" s="151" t="s">
        <v>77</v>
      </c>
      <c r="G371" s="152"/>
      <c r="H371" s="153">
        <f t="shared" ref="H371:H378" si="1153">IF(G371="x",10,0)</f>
        <v>0</v>
      </c>
      <c r="I371" s="152"/>
      <c r="J371" s="153">
        <f t="shared" ref="J371:J378" si="1154">IF((I371="x"),-10,0)</f>
        <v>0</v>
      </c>
      <c r="K371" s="152"/>
      <c r="L371" s="153">
        <f t="shared" ref="L371:L378" si="1155">IF((K371="x"),-20,0)</f>
        <v>0</v>
      </c>
      <c r="M371" s="152"/>
      <c r="N371" s="153">
        <f t="shared" ref="N371:N378" si="1156">IF((M371="x"),-30,0)</f>
        <v>0</v>
      </c>
      <c r="O371" s="154">
        <f t="shared" si="1113"/>
        <v>0</v>
      </c>
      <c r="P371" s="154">
        <f t="shared" si="1114"/>
        <v>-5</v>
      </c>
      <c r="Q371" s="154">
        <f t="shared" si="1152"/>
        <v>-10</v>
      </c>
      <c r="R371" s="152"/>
      <c r="S371" s="153">
        <f t="shared" ref="S371:S378" si="1157">R371*10</f>
        <v>0</v>
      </c>
      <c r="T371" s="152"/>
      <c r="U371" s="153">
        <f t="shared" ref="U371:U378" si="1158">T371*-15</f>
        <v>0</v>
      </c>
      <c r="V371" s="154">
        <f t="shared" ref="V371:V377" si="1159">IF(AND(R371=2),10,IF(R371=3,30,IF(R371=4,50,IF(R371=5,70,0))))</f>
        <v>0</v>
      </c>
      <c r="W371" s="155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49">
        <f>COUNTA(Spieltag!K359:AA359)</f>
        <v>0</v>
      </c>
      <c r="C372" s="165">
        <f>Spieltag!A359</f>
        <v>11</v>
      </c>
      <c r="D372" s="21" t="str">
        <f>Spieltag!B359</f>
        <v>Florian Grillitsch (A)</v>
      </c>
      <c r="E372" s="150" t="str">
        <f>Spieltag!C359</f>
        <v>Mittelfeld</v>
      </c>
      <c r="F372" s="151" t="s">
        <v>77</v>
      </c>
      <c r="G372" s="152"/>
      <c r="H372" s="153">
        <f t="shared" si="1153"/>
        <v>0</v>
      </c>
      <c r="I372" s="152"/>
      <c r="J372" s="153">
        <f t="shared" si="1154"/>
        <v>0</v>
      </c>
      <c r="K372" s="152"/>
      <c r="L372" s="153">
        <f t="shared" si="1155"/>
        <v>0</v>
      </c>
      <c r="M372" s="152"/>
      <c r="N372" s="153">
        <f t="shared" si="1156"/>
        <v>0</v>
      </c>
      <c r="O372" s="154">
        <f t="shared" si="1113"/>
        <v>0</v>
      </c>
      <c r="P372" s="154">
        <f t="shared" si="1114"/>
        <v>-5</v>
      </c>
      <c r="Q372" s="154">
        <f t="shared" si="1152"/>
        <v>-10</v>
      </c>
      <c r="R372" s="152"/>
      <c r="S372" s="153">
        <f t="shared" si="1157"/>
        <v>0</v>
      </c>
      <c r="T372" s="152"/>
      <c r="U372" s="153">
        <f t="shared" si="1158"/>
        <v>0</v>
      </c>
      <c r="V372" s="154">
        <f t="shared" si="1159"/>
        <v>0</v>
      </c>
      <c r="W372" s="155">
        <f t="shared" si="1160"/>
        <v>0</v>
      </c>
    </row>
    <row r="373" spans="1:23" ht="10.5" hidden="1" customHeight="1" x14ac:dyDescent="0.2">
      <c r="A373" s="11"/>
      <c r="B373" s="149">
        <f>COUNTA(Spieltag!K360:AA360)</f>
        <v>0</v>
      </c>
      <c r="C373" s="165">
        <f>Spieltag!A360</f>
        <v>16</v>
      </c>
      <c r="D373" s="21" t="str">
        <f>Spieltag!B360</f>
        <v>Anton Stach</v>
      </c>
      <c r="E373" s="150" t="str">
        <f>Spieltag!C360</f>
        <v>Mittelfeld</v>
      </c>
      <c r="F373" s="151" t="s">
        <v>77</v>
      </c>
      <c r="G373" s="152"/>
      <c r="H373" s="153">
        <f t="shared" ref="H373" si="1161">IF(G373="x",10,0)</f>
        <v>0</v>
      </c>
      <c r="I373" s="152"/>
      <c r="J373" s="153">
        <f t="shared" ref="J373" si="1162">IF((I373="x"),-10,0)</f>
        <v>0</v>
      </c>
      <c r="K373" s="152"/>
      <c r="L373" s="153">
        <f t="shared" ref="L373" si="1163">IF((K373="x"),-20,0)</f>
        <v>0</v>
      </c>
      <c r="M373" s="152"/>
      <c r="N373" s="153">
        <f t="shared" ref="N373" si="1164">IF((M373="x"),-30,0)</f>
        <v>0</v>
      </c>
      <c r="O373" s="154">
        <f t="shared" si="1113"/>
        <v>0</v>
      </c>
      <c r="P373" s="154">
        <f t="shared" si="1114"/>
        <v>-5</v>
      </c>
      <c r="Q373" s="154">
        <f t="shared" si="1152"/>
        <v>-10</v>
      </c>
      <c r="R373" s="152"/>
      <c r="S373" s="153">
        <f t="shared" ref="S373" si="1165">R373*10</f>
        <v>0</v>
      </c>
      <c r="T373" s="152"/>
      <c r="U373" s="153">
        <f t="shared" ref="U373" si="1166">T373*-15</f>
        <v>0</v>
      </c>
      <c r="V373" s="154">
        <f t="shared" ref="V373" si="1167">IF(AND(R373=2),10,IF(R373=3,30,IF(R373=4,50,IF(R373=5,70,0))))</f>
        <v>0</v>
      </c>
      <c r="W373" s="155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49">
        <f>COUNTA(Spieltag!K361:AA361)</f>
        <v>0</v>
      </c>
      <c r="C374" s="165">
        <f>Spieltag!A361</f>
        <v>20</v>
      </c>
      <c r="D374" s="21" t="str">
        <f>Spieltag!B361</f>
        <v>Finn Ole Becker</v>
      </c>
      <c r="E374" s="150" t="str">
        <f>Spieltag!C361</f>
        <v>Mittelfeld</v>
      </c>
      <c r="F374" s="151" t="s">
        <v>77</v>
      </c>
      <c r="G374" s="152"/>
      <c r="H374" s="153">
        <f t="shared" si="1153"/>
        <v>0</v>
      </c>
      <c r="I374" s="152"/>
      <c r="J374" s="153">
        <f t="shared" si="1154"/>
        <v>0</v>
      </c>
      <c r="K374" s="152"/>
      <c r="L374" s="153">
        <f t="shared" si="1155"/>
        <v>0</v>
      </c>
      <c r="M374" s="152"/>
      <c r="N374" s="153">
        <f t="shared" si="1156"/>
        <v>0</v>
      </c>
      <c r="O374" s="154">
        <f t="shared" si="1113"/>
        <v>0</v>
      </c>
      <c r="P374" s="154">
        <f t="shared" si="1114"/>
        <v>-5</v>
      </c>
      <c r="Q374" s="154">
        <f t="shared" si="1152"/>
        <v>-10</v>
      </c>
      <c r="R374" s="152"/>
      <c r="S374" s="153">
        <f t="shared" si="1157"/>
        <v>0</v>
      </c>
      <c r="T374" s="152"/>
      <c r="U374" s="153">
        <f t="shared" si="1158"/>
        <v>0</v>
      </c>
      <c r="V374" s="154">
        <f t="shared" si="1159"/>
        <v>0</v>
      </c>
      <c r="W374" s="155">
        <f t="shared" si="1160"/>
        <v>0</v>
      </c>
    </row>
    <row r="375" spans="1:23" ht="10.5" hidden="1" customHeight="1" x14ac:dyDescent="0.2">
      <c r="A375" s="11"/>
      <c r="B375" s="149">
        <f>COUNTA(Spieltag!K362:AA362)</f>
        <v>0</v>
      </c>
      <c r="C375" s="165">
        <f>Spieltag!A362</f>
        <v>24</v>
      </c>
      <c r="D375" s="21" t="str">
        <f>Spieltag!B362</f>
        <v>Marco John</v>
      </c>
      <c r="E375" s="150" t="str">
        <f>Spieltag!C362</f>
        <v>Mittelfeld</v>
      </c>
      <c r="F375" s="151" t="s">
        <v>77</v>
      </c>
      <c r="G375" s="152"/>
      <c r="H375" s="153">
        <f t="shared" si="1153"/>
        <v>0</v>
      </c>
      <c r="I375" s="152"/>
      <c r="J375" s="153">
        <f t="shared" si="1154"/>
        <v>0</v>
      </c>
      <c r="K375" s="152"/>
      <c r="L375" s="153">
        <f t="shared" si="1155"/>
        <v>0</v>
      </c>
      <c r="M375" s="152"/>
      <c r="N375" s="153">
        <f t="shared" si="1156"/>
        <v>0</v>
      </c>
      <c r="O375" s="154">
        <f t="shared" si="1113"/>
        <v>0</v>
      </c>
      <c r="P375" s="154">
        <f t="shared" si="1114"/>
        <v>-5</v>
      </c>
      <c r="Q375" s="154">
        <f t="shared" si="1152"/>
        <v>-10</v>
      </c>
      <c r="R375" s="152"/>
      <c r="S375" s="153">
        <f t="shared" si="1157"/>
        <v>0</v>
      </c>
      <c r="T375" s="152"/>
      <c r="U375" s="153">
        <f t="shared" si="1158"/>
        <v>0</v>
      </c>
      <c r="V375" s="154">
        <f t="shared" si="1159"/>
        <v>0</v>
      </c>
      <c r="W375" s="155">
        <f t="shared" si="1160"/>
        <v>0</v>
      </c>
    </row>
    <row r="376" spans="1:23" ht="10.5" hidden="1" customHeight="1" x14ac:dyDescent="0.2">
      <c r="A376" s="11"/>
      <c r="B376" s="149">
        <f>COUNTA(Spieltag!K363:AA363)</f>
        <v>0</v>
      </c>
      <c r="C376" s="165">
        <f>Spieltag!A363</f>
        <v>31</v>
      </c>
      <c r="D376" s="21" t="str">
        <f>Spieltag!B363</f>
        <v>Bambasé Conté</v>
      </c>
      <c r="E376" s="150" t="str">
        <f>Spieltag!C363</f>
        <v>Mittelfeld</v>
      </c>
      <c r="F376" s="151" t="s">
        <v>77</v>
      </c>
      <c r="G376" s="152"/>
      <c r="H376" s="153">
        <f t="shared" ref="H376" si="1169">IF(G376="x",10,0)</f>
        <v>0</v>
      </c>
      <c r="I376" s="152"/>
      <c r="J376" s="153">
        <f t="shared" ref="J376" si="1170">IF((I376="x"),-10,0)</f>
        <v>0</v>
      </c>
      <c r="K376" s="152"/>
      <c r="L376" s="153">
        <f t="shared" ref="L376" si="1171">IF((K376="x"),-20,0)</f>
        <v>0</v>
      </c>
      <c r="M376" s="152"/>
      <c r="N376" s="153">
        <f t="shared" ref="N376" si="1172">IF((M376="x"),-30,0)</f>
        <v>0</v>
      </c>
      <c r="O376" s="154">
        <f t="shared" si="1113"/>
        <v>0</v>
      </c>
      <c r="P376" s="154">
        <f t="shared" si="1114"/>
        <v>-5</v>
      </c>
      <c r="Q376" s="154">
        <f t="shared" si="1152"/>
        <v>-10</v>
      </c>
      <c r="R376" s="152"/>
      <c r="S376" s="153">
        <f t="shared" ref="S376" si="1173">R376*10</f>
        <v>0</v>
      </c>
      <c r="T376" s="152"/>
      <c r="U376" s="153">
        <f t="shared" ref="U376" si="1174">T376*-15</f>
        <v>0</v>
      </c>
      <c r="V376" s="154">
        <f t="shared" ref="V376" si="1175">IF(AND(R376=2),10,IF(R376=3,30,IF(R376=4,50,IF(R376=5,70,0))))</f>
        <v>0</v>
      </c>
      <c r="W376" s="155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49">
        <f>COUNTA(Spieltag!K364:AA364)</f>
        <v>0</v>
      </c>
      <c r="C377" s="165">
        <f>Spieltag!A364</f>
        <v>39</v>
      </c>
      <c r="D377" s="21" t="str">
        <f>Spieltag!B364</f>
        <v>Tom Bischof</v>
      </c>
      <c r="E377" s="150" t="str">
        <f>Spieltag!C364</f>
        <v>Mittelfeld</v>
      </c>
      <c r="F377" s="151" t="s">
        <v>77</v>
      </c>
      <c r="G377" s="152"/>
      <c r="H377" s="153">
        <f t="shared" si="1153"/>
        <v>0</v>
      </c>
      <c r="I377" s="152"/>
      <c r="J377" s="153">
        <f t="shared" si="1154"/>
        <v>0</v>
      </c>
      <c r="K377" s="152"/>
      <c r="L377" s="153">
        <f t="shared" si="1155"/>
        <v>0</v>
      </c>
      <c r="M377" s="152"/>
      <c r="N377" s="153">
        <f t="shared" si="1156"/>
        <v>0</v>
      </c>
      <c r="O377" s="154">
        <f t="shared" si="1113"/>
        <v>0</v>
      </c>
      <c r="P377" s="154">
        <f t="shared" si="1114"/>
        <v>-5</v>
      </c>
      <c r="Q377" s="154">
        <f t="shared" si="1152"/>
        <v>-10</v>
      </c>
      <c r="R377" s="152"/>
      <c r="S377" s="153">
        <f t="shared" si="1157"/>
        <v>0</v>
      </c>
      <c r="T377" s="152"/>
      <c r="U377" s="153">
        <f t="shared" si="1158"/>
        <v>0</v>
      </c>
      <c r="V377" s="154">
        <f t="shared" si="1159"/>
        <v>0</v>
      </c>
      <c r="W377" s="155">
        <f t="shared" si="1160"/>
        <v>0</v>
      </c>
    </row>
    <row r="378" spans="1:23" ht="10.5" hidden="1" customHeight="1" x14ac:dyDescent="0.2">
      <c r="A378" s="11"/>
      <c r="B378" s="149">
        <f>COUNTA(Spieltag!K365:AA365)</f>
        <v>0</v>
      </c>
      <c r="C378" s="165">
        <f>Spieltag!A365</f>
        <v>40</v>
      </c>
      <c r="D378" s="21" t="str">
        <f>Spieltag!B365</f>
        <v>Umut Tohumcu</v>
      </c>
      <c r="E378" s="150" t="str">
        <f>Spieltag!C365</f>
        <v>Mittelfeld</v>
      </c>
      <c r="F378" s="151" t="s">
        <v>77</v>
      </c>
      <c r="G378" s="152"/>
      <c r="H378" s="153">
        <f t="shared" si="1153"/>
        <v>0</v>
      </c>
      <c r="I378" s="152"/>
      <c r="J378" s="153">
        <f t="shared" si="1154"/>
        <v>0</v>
      </c>
      <c r="K378" s="152"/>
      <c r="L378" s="153">
        <f t="shared" si="1155"/>
        <v>0</v>
      </c>
      <c r="M378" s="152"/>
      <c r="N378" s="153">
        <f t="shared" si="1156"/>
        <v>0</v>
      </c>
      <c r="O378" s="154">
        <f t="shared" si="1113"/>
        <v>0</v>
      </c>
      <c r="P378" s="154">
        <f t="shared" si="1114"/>
        <v>-5</v>
      </c>
      <c r="Q378" s="154">
        <f t="shared" si="1152"/>
        <v>-10</v>
      </c>
      <c r="R378" s="152"/>
      <c r="S378" s="153">
        <f t="shared" si="1157"/>
        <v>0</v>
      </c>
      <c r="T378" s="152"/>
      <c r="U378" s="153">
        <f t="shared" si="1158"/>
        <v>0</v>
      </c>
      <c r="V378" s="154">
        <f t="shared" ref="V378" si="1177">IF(AND(R378=2),10,IF(R378=3,30,IF(R378=4,50,IF(R378=5,70,0))))</f>
        <v>0</v>
      </c>
      <c r="W378" s="155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5">
        <f>Spieltag!A366</f>
        <v>7</v>
      </c>
      <c r="D379" s="21" t="str">
        <f>Spieltag!B366</f>
        <v>Mërgim Berisha</v>
      </c>
      <c r="E379" s="150" t="str">
        <f>Spieltag!C366</f>
        <v>Sturm</v>
      </c>
      <c r="F379" s="151" t="s">
        <v>77</v>
      </c>
      <c r="G379" s="152"/>
      <c r="H379" s="153">
        <f>IF(G379="x",10,0)</f>
        <v>0</v>
      </c>
      <c r="I379" s="152"/>
      <c r="J379" s="153">
        <f>IF((I379="x"),-10,0)</f>
        <v>0</v>
      </c>
      <c r="K379" s="152"/>
      <c r="L379" s="153">
        <f>IF((K379="x"),-20,0)</f>
        <v>0</v>
      </c>
      <c r="M379" s="152"/>
      <c r="N379" s="153">
        <f>IF((M379="x"),-30,0)</f>
        <v>0</v>
      </c>
      <c r="O379" s="154">
        <f t="shared" si="1113"/>
        <v>0</v>
      </c>
      <c r="P379" s="154">
        <f t="shared" si="1114"/>
        <v>-5</v>
      </c>
      <c r="Q379" s="154">
        <f t="shared" ref="Q379:Q385" si="1179">IF(($W$3&lt;&gt;0),$W$3*-10,5)</f>
        <v>-10</v>
      </c>
      <c r="R379" s="152"/>
      <c r="S379" s="153">
        <f>R379*10</f>
        <v>0</v>
      </c>
      <c r="T379" s="152"/>
      <c r="U379" s="153">
        <f>T379*-15</f>
        <v>0</v>
      </c>
      <c r="V379" s="154">
        <f>IF(AND(R379=2),10,IF(R379=3,30,IF(R379=4,50,IF(R379=5,70,0))))</f>
        <v>0</v>
      </c>
      <c r="W379" s="155">
        <f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5">
        <f>Spieltag!A367</f>
        <v>9</v>
      </c>
      <c r="D380" s="21" t="str">
        <f>Spieltag!B367</f>
        <v>Ihlas Bebou (A)</v>
      </c>
      <c r="E380" s="150" t="str">
        <f>Spieltag!C367</f>
        <v>Sturm</v>
      </c>
      <c r="F380" s="151" t="s">
        <v>77</v>
      </c>
      <c r="G380" s="152"/>
      <c r="H380" s="153">
        <f>IF(G380="x",10,0)</f>
        <v>0</v>
      </c>
      <c r="I380" s="152"/>
      <c r="J380" s="153">
        <f>IF((I380="x"),-10,0)</f>
        <v>0</v>
      </c>
      <c r="K380" s="152"/>
      <c r="L380" s="153">
        <f>IF((K380="x"),-20,0)</f>
        <v>0</v>
      </c>
      <c r="M380" s="152"/>
      <c r="N380" s="153">
        <f>IF((M380="x"),-30,0)</f>
        <v>0</v>
      </c>
      <c r="O380" s="154">
        <f t="shared" si="1113"/>
        <v>0</v>
      </c>
      <c r="P380" s="154">
        <f t="shared" si="1114"/>
        <v>-5</v>
      </c>
      <c r="Q380" s="154">
        <f t="shared" si="1179"/>
        <v>-10</v>
      </c>
      <c r="R380" s="152"/>
      <c r="S380" s="153">
        <f>R380*10</f>
        <v>0</v>
      </c>
      <c r="T380" s="152"/>
      <c r="U380" s="153">
        <f>T380*-15</f>
        <v>0</v>
      </c>
      <c r="V380" s="154">
        <f>IF(AND(R380=2),10,IF(R380=3,30,IF(R380=4,50,IF(R380=5,70,0))))</f>
        <v>0</v>
      </c>
      <c r="W380" s="155">
        <f>IF(G380="x",H380+J380+L380+N380+O380+P380+Q380+S380+U380+V380,0)</f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5">
        <f>Spieltag!A368</f>
        <v>10</v>
      </c>
      <c r="D381" s="21" t="str">
        <f>Spieltag!B368</f>
        <v>Wout Weghorst (A)</v>
      </c>
      <c r="E381" s="150" t="str">
        <f>Spieltag!C368</f>
        <v>Sturm</v>
      </c>
      <c r="F381" s="151" t="s">
        <v>77</v>
      </c>
      <c r="G381" s="152"/>
      <c r="H381" s="153">
        <f t="shared" ref="H381:H385" si="1180">IF(G381="x",10,0)</f>
        <v>0</v>
      </c>
      <c r="I381" s="152"/>
      <c r="J381" s="153">
        <f t="shared" ref="J381:J385" si="1181">IF((I381="x"),-10,0)</f>
        <v>0</v>
      </c>
      <c r="K381" s="152"/>
      <c r="L381" s="153">
        <f t="shared" ref="L381:L385" si="1182">IF((K381="x"),-20,0)</f>
        <v>0</v>
      </c>
      <c r="M381" s="152"/>
      <c r="N381" s="153">
        <f t="shared" ref="N381:N385" si="1183">IF((M381="x"),-30,0)</f>
        <v>0</v>
      </c>
      <c r="O381" s="154">
        <f t="shared" si="1113"/>
        <v>0</v>
      </c>
      <c r="P381" s="154">
        <f t="shared" si="1114"/>
        <v>-5</v>
      </c>
      <c r="Q381" s="154">
        <f t="shared" si="1179"/>
        <v>-10</v>
      </c>
      <c r="R381" s="152"/>
      <c r="S381" s="153">
        <f t="shared" ref="S381:S385" si="1184">R381*10</f>
        <v>0</v>
      </c>
      <c r="T381" s="152"/>
      <c r="U381" s="153">
        <f t="shared" ref="U381:U385" si="1185">T381*-15</f>
        <v>0</v>
      </c>
      <c r="V381" s="154">
        <f t="shared" ref="V381:V385" si="1186">IF(AND(R381=2),10,IF(R381=3,30,IF(R381=4,50,IF(R381=5,70,0))))</f>
        <v>0</v>
      </c>
      <c r="W381" s="155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5">
        <f>Spieltag!A369</f>
        <v>14</v>
      </c>
      <c r="D382" s="21" t="str">
        <f>Spieltag!B369</f>
        <v>Maximilian Beier</v>
      </c>
      <c r="E382" s="150" t="str">
        <f>Spieltag!C369</f>
        <v>Sturm</v>
      </c>
      <c r="F382" s="151" t="s">
        <v>77</v>
      </c>
      <c r="G382" s="152"/>
      <c r="H382" s="153">
        <f t="shared" si="1180"/>
        <v>0</v>
      </c>
      <c r="I382" s="152"/>
      <c r="J382" s="153">
        <f t="shared" si="1181"/>
        <v>0</v>
      </c>
      <c r="K382" s="152"/>
      <c r="L382" s="153">
        <f t="shared" si="1182"/>
        <v>0</v>
      </c>
      <c r="M382" s="152"/>
      <c r="N382" s="153">
        <f t="shared" si="1183"/>
        <v>0</v>
      </c>
      <c r="O382" s="154">
        <f t="shared" si="1113"/>
        <v>0</v>
      </c>
      <c r="P382" s="154">
        <f t="shared" si="1114"/>
        <v>-5</v>
      </c>
      <c r="Q382" s="154">
        <f t="shared" si="1179"/>
        <v>-10</v>
      </c>
      <c r="R382" s="152"/>
      <c r="S382" s="153">
        <f t="shared" si="1184"/>
        <v>0</v>
      </c>
      <c r="T382" s="152"/>
      <c r="U382" s="153">
        <f t="shared" si="1185"/>
        <v>0</v>
      </c>
      <c r="V382" s="154">
        <f t="shared" si="1186"/>
        <v>0</v>
      </c>
      <c r="W382" s="155">
        <f t="shared" si="1187"/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5">
        <f>Spieltag!A370</f>
        <v>21</v>
      </c>
      <c r="D383" s="21" t="str">
        <f>Spieltag!B370</f>
        <v>Marius Bülter</v>
      </c>
      <c r="E383" s="150" t="str">
        <f>Spieltag!C370</f>
        <v>Sturm</v>
      </c>
      <c r="F383" s="151" t="s">
        <v>77</v>
      </c>
      <c r="G383" s="152"/>
      <c r="H383" s="153">
        <f t="shared" ref="H383" si="1188">IF(G383="x",10,0)</f>
        <v>0</v>
      </c>
      <c r="I383" s="152"/>
      <c r="J383" s="153">
        <f t="shared" ref="J383" si="1189">IF((I383="x"),-10,0)</f>
        <v>0</v>
      </c>
      <c r="K383" s="152"/>
      <c r="L383" s="153">
        <f t="shared" ref="L383" si="1190">IF((K383="x"),-20,0)</f>
        <v>0</v>
      </c>
      <c r="M383" s="152"/>
      <c r="N383" s="153">
        <f t="shared" ref="N383" si="1191">IF((M383="x"),-30,0)</f>
        <v>0</v>
      </c>
      <c r="O383" s="154">
        <f t="shared" si="1113"/>
        <v>0</v>
      </c>
      <c r="P383" s="154">
        <f t="shared" si="1114"/>
        <v>-5</v>
      </c>
      <c r="Q383" s="154">
        <f t="shared" si="1179"/>
        <v>-10</v>
      </c>
      <c r="R383" s="152"/>
      <c r="S383" s="153">
        <f t="shared" ref="S383" si="1192">R383*10</f>
        <v>0</v>
      </c>
      <c r="T383" s="152"/>
      <c r="U383" s="153">
        <f t="shared" ref="U383" si="1193">T383*-15</f>
        <v>0</v>
      </c>
      <c r="V383" s="154">
        <f t="shared" ref="V383" si="1194">IF(AND(R383=2),10,IF(R383=3,30,IF(R383=4,50,IF(R383=5,70,0))))</f>
        <v>0</v>
      </c>
      <c r="W383" s="155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5">
        <f>Spieltag!A371</f>
        <v>27</v>
      </c>
      <c r="D384" s="21" t="str">
        <f>Spieltag!B371</f>
        <v>Andrej Kramarić (A)</v>
      </c>
      <c r="E384" s="150" t="str">
        <f>Spieltag!C371</f>
        <v>Sturm</v>
      </c>
      <c r="F384" s="151" t="s">
        <v>77</v>
      </c>
      <c r="G384" s="152"/>
      <c r="H384" s="153">
        <f t="shared" si="1180"/>
        <v>0</v>
      </c>
      <c r="I384" s="152"/>
      <c r="J384" s="153">
        <f t="shared" si="1181"/>
        <v>0</v>
      </c>
      <c r="K384" s="152"/>
      <c r="L384" s="153">
        <f t="shared" si="1182"/>
        <v>0</v>
      </c>
      <c r="M384" s="152"/>
      <c r="N384" s="153">
        <f t="shared" si="1183"/>
        <v>0</v>
      </c>
      <c r="O384" s="154">
        <f t="shared" si="1113"/>
        <v>0</v>
      </c>
      <c r="P384" s="154">
        <f t="shared" si="1114"/>
        <v>-5</v>
      </c>
      <c r="Q384" s="154">
        <f t="shared" si="1179"/>
        <v>-10</v>
      </c>
      <c r="R384" s="152"/>
      <c r="S384" s="153">
        <f t="shared" si="1184"/>
        <v>0</v>
      </c>
      <c r="T384" s="152"/>
      <c r="U384" s="153">
        <f t="shared" si="1185"/>
        <v>0</v>
      </c>
      <c r="V384" s="154">
        <f t="shared" si="1186"/>
        <v>0</v>
      </c>
      <c r="W384" s="155">
        <f t="shared" si="1187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5">
        <f>Spieltag!A372</f>
        <v>29</v>
      </c>
      <c r="D385" s="21" t="str">
        <f>Spieltag!B372</f>
        <v>Robert Skov (A)</v>
      </c>
      <c r="E385" s="150" t="str">
        <f>Spieltag!C372</f>
        <v>Sturm</v>
      </c>
      <c r="F385" s="151" t="s">
        <v>77</v>
      </c>
      <c r="G385" s="152"/>
      <c r="H385" s="153">
        <f t="shared" si="1180"/>
        <v>0</v>
      </c>
      <c r="I385" s="152"/>
      <c r="J385" s="153">
        <f t="shared" si="1181"/>
        <v>0</v>
      </c>
      <c r="K385" s="152"/>
      <c r="L385" s="153">
        <f t="shared" si="1182"/>
        <v>0</v>
      </c>
      <c r="M385" s="152"/>
      <c r="N385" s="153">
        <f t="shared" si="1183"/>
        <v>0</v>
      </c>
      <c r="O385" s="154">
        <f t="shared" si="1113"/>
        <v>0</v>
      </c>
      <c r="P385" s="154">
        <f t="shared" si="1114"/>
        <v>-5</v>
      </c>
      <c r="Q385" s="154">
        <f t="shared" si="1179"/>
        <v>-10</v>
      </c>
      <c r="R385" s="152"/>
      <c r="S385" s="153">
        <f t="shared" si="1184"/>
        <v>0</v>
      </c>
      <c r="T385" s="152"/>
      <c r="U385" s="153">
        <f t="shared" si="1185"/>
        <v>0</v>
      </c>
      <c r="V385" s="154">
        <f t="shared" si="1186"/>
        <v>0</v>
      </c>
      <c r="W385" s="155">
        <f t="shared" si="1187"/>
        <v>0</v>
      </c>
    </row>
    <row r="386" spans="1:23" s="143" customFormat="1" ht="17.25" hidden="1" thickBot="1" x14ac:dyDescent="0.25">
      <c r="A386" s="141"/>
      <c r="B386" s="142">
        <f>SUM(B387:B414)</f>
        <v>0</v>
      </c>
      <c r="C386" s="157"/>
      <c r="D386" s="220" t="s">
        <v>321</v>
      </c>
      <c r="E386" s="220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1"/>
    </row>
    <row r="387" spans="1:23" ht="10.5" hidden="1" customHeight="1" x14ac:dyDescent="0.2">
      <c r="A387" s="11"/>
      <c r="B387" s="148">
        <f>COUNTA(Spieltag!K374:AA374)</f>
        <v>0</v>
      </c>
      <c r="C387" s="165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20</v>
      </c>
      <c r="P387" s="16">
        <f>IF(($P$4&lt;&gt;0),$P$4*10,-5)</f>
        <v>10</v>
      </c>
      <c r="Q387" s="16">
        <f>IF(($Q$4&lt;&gt;0),$Q$4*-10,20)</f>
        <v>20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8">
        <f>COUNTA(Spieltag!K375:AA375)</f>
        <v>0</v>
      </c>
      <c r="C388" s="165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20</v>
      </c>
      <c r="P388" s="16">
        <f t="shared" ref="P388:P390" si="1201">IF(($P$4&lt;&gt;0),$P$4*10,-5)</f>
        <v>10</v>
      </c>
      <c r="Q388" s="16">
        <f t="shared" ref="Q388:Q390" si="1202">IF(($Q$4&lt;&gt;0),$Q$4*-10,20)</f>
        <v>20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8">
        <f>COUNTA(Spieltag!K376:AA376)</f>
        <v>0</v>
      </c>
      <c r="C389" s="165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20</v>
      </c>
      <c r="P389" s="16">
        <f t="shared" si="1201"/>
        <v>10</v>
      </c>
      <c r="Q389" s="16">
        <f t="shared" si="1202"/>
        <v>20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8">
        <f>COUNTA(Spieltag!K377:AA377)</f>
        <v>0</v>
      </c>
      <c r="C390" s="165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20</v>
      </c>
      <c r="P390" s="16">
        <f t="shared" si="1201"/>
        <v>10</v>
      </c>
      <c r="Q390" s="16">
        <f t="shared" si="1202"/>
        <v>20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8">
        <f>COUNTA(Spieltag!K378:AA378)</f>
        <v>0</v>
      </c>
      <c r="C391" s="165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20</v>
      </c>
      <c r="P391" s="16">
        <f t="shared" ref="P391:P401" si="1216">IF(($P$4&lt;&gt;0),$P$4*10,-5)</f>
        <v>10</v>
      </c>
      <c r="Q391" s="16">
        <f t="shared" ref="Q391:Q401" si="1217">IF(($Q$4&lt;&gt;0),$Q$4*-10,15)</f>
        <v>15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8">
        <f>COUNTA(Spieltag!K379:AA379)</f>
        <v>0</v>
      </c>
      <c r="C392" s="165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20</v>
      </c>
      <c r="P392" s="16">
        <f t="shared" si="1216"/>
        <v>10</v>
      </c>
      <c r="Q392" s="16">
        <f t="shared" si="1217"/>
        <v>15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8">
        <f>COUNTA(Spieltag!K380:AA380)</f>
        <v>0</v>
      </c>
      <c r="C393" s="165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20</v>
      </c>
      <c r="P393" s="16">
        <f t="shared" si="1216"/>
        <v>10</v>
      </c>
      <c r="Q393" s="16">
        <f t="shared" si="1217"/>
        <v>15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8">
        <f>COUNTA(Spieltag!K381:AA381)</f>
        <v>0</v>
      </c>
      <c r="C394" s="165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20</v>
      </c>
      <c r="P394" s="16">
        <f t="shared" si="1216"/>
        <v>10</v>
      </c>
      <c r="Q394" s="16">
        <f t="shared" si="1217"/>
        <v>15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8">
        <f>COUNTA(Spieltag!K382:AA382)</f>
        <v>0</v>
      </c>
      <c r="C395" s="165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20</v>
      </c>
      <c r="P395" s="16">
        <f t="shared" si="1216"/>
        <v>10</v>
      </c>
      <c r="Q395" s="16">
        <f t="shared" si="1217"/>
        <v>15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8">
        <f>COUNTA(Spieltag!K383:AA383)</f>
        <v>0</v>
      </c>
      <c r="C396" s="165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20</v>
      </c>
      <c r="P396" s="16">
        <f t="shared" si="1216"/>
        <v>10</v>
      </c>
      <c r="Q396" s="16">
        <f t="shared" si="1217"/>
        <v>15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8">
        <f>COUNTA(Spieltag!K384:AA384)</f>
        <v>0</v>
      </c>
      <c r="C397" s="165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20</v>
      </c>
      <c r="P397" s="16">
        <f t="shared" si="1216"/>
        <v>10</v>
      </c>
      <c r="Q397" s="16">
        <f t="shared" si="1217"/>
        <v>15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8">
        <f>COUNTA(Spieltag!K385:AA385)</f>
        <v>0</v>
      </c>
      <c r="C398" s="165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20</v>
      </c>
      <c r="P398" s="16">
        <f t="shared" si="1216"/>
        <v>10</v>
      </c>
      <c r="Q398" s="16">
        <f t="shared" si="1217"/>
        <v>15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8">
        <f>COUNTA(Spieltag!K386:AA386)</f>
        <v>0</v>
      </c>
      <c r="C399" s="165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20</v>
      </c>
      <c r="P399" s="16">
        <f t="shared" si="1216"/>
        <v>10</v>
      </c>
      <c r="Q399" s="16">
        <f t="shared" si="1217"/>
        <v>15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8">
        <f>COUNTA(Spieltag!K387:AA387)</f>
        <v>0</v>
      </c>
      <c r="C400" s="165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20</v>
      </c>
      <c r="P400" s="16">
        <f t="shared" si="1216"/>
        <v>10</v>
      </c>
      <c r="Q400" s="16">
        <f t="shared" si="1217"/>
        <v>15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8">
        <f>COUNTA(Spieltag!K388:AA388)</f>
        <v>0</v>
      </c>
      <c r="C401" s="165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20</v>
      </c>
      <c r="P401" s="16">
        <f t="shared" si="1216"/>
        <v>10</v>
      </c>
      <c r="Q401" s="16">
        <f t="shared" si="1217"/>
        <v>15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8">
        <f>COUNTA(Spieltag!K389:AA389)</f>
        <v>0</v>
      </c>
      <c r="C402" s="165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20</v>
      </c>
      <c r="P402" s="16">
        <f t="shared" ref="P402:P414" si="1252">IF(($P$4&lt;&gt;0),$P$4*10,-5)</f>
        <v>10</v>
      </c>
      <c r="Q402" s="16">
        <f t="shared" ref="Q402:Q409" si="1253">IF(($Q$4&lt;&gt;0),$Q$4*-10,10)</f>
        <v>10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8">
        <f>COUNTA(Spieltag!K390:AA390)</f>
        <v>0</v>
      </c>
      <c r="C403" s="165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20</v>
      </c>
      <c r="P403" s="16">
        <f t="shared" si="1252"/>
        <v>10</v>
      </c>
      <c r="Q403" s="16">
        <f t="shared" si="1253"/>
        <v>10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8">
        <f>COUNTA(Spieltag!K391:AA391)</f>
        <v>0</v>
      </c>
      <c r="C404" s="165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20</v>
      </c>
      <c r="P404" s="16">
        <f t="shared" si="1252"/>
        <v>10</v>
      </c>
      <c r="Q404" s="16">
        <f t="shared" si="1253"/>
        <v>10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8">
        <f>COUNTA(Spieltag!K392:AA392)</f>
        <v>0</v>
      </c>
      <c r="C405" s="165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20</v>
      </c>
      <c r="P405" s="16">
        <f t="shared" si="1252"/>
        <v>10</v>
      </c>
      <c r="Q405" s="16">
        <f t="shared" si="1253"/>
        <v>10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8">
        <f>COUNTA(Spieltag!K393:AA393)</f>
        <v>0</v>
      </c>
      <c r="C406" s="165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20</v>
      </c>
      <c r="P406" s="16">
        <f t="shared" si="1252"/>
        <v>10</v>
      </c>
      <c r="Q406" s="16">
        <f t="shared" si="1253"/>
        <v>10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8">
        <f>COUNTA(Spieltag!K394:AA394)</f>
        <v>0</v>
      </c>
      <c r="C407" s="165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20</v>
      </c>
      <c r="P407" s="16">
        <f t="shared" si="1252"/>
        <v>10</v>
      </c>
      <c r="Q407" s="16">
        <f t="shared" si="1253"/>
        <v>10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8">
        <f>COUNTA(Spieltag!K395:AA395)</f>
        <v>0</v>
      </c>
      <c r="C408" s="165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20</v>
      </c>
      <c r="P408" s="16">
        <f t="shared" si="1252"/>
        <v>10</v>
      </c>
      <c r="Q408" s="16">
        <f t="shared" si="1253"/>
        <v>10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8">
        <f>COUNTA(Spieltag!K396:AA396)</f>
        <v>0</v>
      </c>
      <c r="C409" s="165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20</v>
      </c>
      <c r="P409" s="16">
        <f t="shared" si="1252"/>
        <v>10</v>
      </c>
      <c r="Q409" s="16">
        <f t="shared" si="1253"/>
        <v>10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8">
        <f>COUNTA(Spieltag!K397:AA397)</f>
        <v>0</v>
      </c>
      <c r="C410" s="165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20</v>
      </c>
      <c r="P410" s="16">
        <f t="shared" si="1252"/>
        <v>10</v>
      </c>
      <c r="Q410" s="16">
        <f t="shared" ref="Q410:Q414" si="1274">IF(($Q$4&lt;&gt;0),$Q$4*-10,5)</f>
        <v>5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8">
        <f>COUNTA(Spieltag!K398:AA398)</f>
        <v>0</v>
      </c>
      <c r="C411" s="165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20</v>
      </c>
      <c r="P411" s="16">
        <f t="shared" si="1252"/>
        <v>10</v>
      </c>
      <c r="Q411" s="16">
        <f t="shared" si="1274"/>
        <v>5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8">
        <f>COUNTA(Spieltag!K399:AA399)</f>
        <v>0</v>
      </c>
      <c r="C412" s="165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20</v>
      </c>
      <c r="P412" s="16">
        <f t="shared" si="1252"/>
        <v>10</v>
      </c>
      <c r="Q412" s="16">
        <f t="shared" si="1274"/>
        <v>5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8">
        <f>COUNTA(Spieltag!K400:AA400)</f>
        <v>0</v>
      </c>
      <c r="C413" s="165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20</v>
      </c>
      <c r="P413" s="16">
        <f t="shared" si="1252"/>
        <v>10</v>
      </c>
      <c r="Q413" s="16">
        <f t="shared" si="1274"/>
        <v>5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8">
        <f>COUNTA(Spieltag!K401:AA401)</f>
        <v>0</v>
      </c>
      <c r="C414" s="165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20</v>
      </c>
      <c r="P414" s="16">
        <f t="shared" si="1252"/>
        <v>10</v>
      </c>
      <c r="Q414" s="16">
        <f t="shared" si="1274"/>
        <v>5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3" customFormat="1" ht="17.25" hidden="1" thickBot="1" x14ac:dyDescent="0.25">
      <c r="A415" s="141"/>
      <c r="B415" s="142">
        <f>SUM(B416:B444)</f>
        <v>0</v>
      </c>
      <c r="C415" s="157"/>
      <c r="D415" s="220" t="s">
        <v>259</v>
      </c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1"/>
    </row>
    <row r="416" spans="1:23" ht="10.5" hidden="1" customHeight="1" x14ac:dyDescent="0.2">
      <c r="A416" s="11"/>
      <c r="B416" s="148">
        <f>COUNTA(Spieltag!K403:AA403)</f>
        <v>0</v>
      </c>
      <c r="C416" s="165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20</v>
      </c>
      <c r="P416" s="16">
        <f t="shared" ref="P416:P431" si="1300">IF(($P$9&lt;&gt;0),$P$9*10,-5)</f>
        <v>30</v>
      </c>
      <c r="Q416" s="16">
        <f>IF(($Q$9&lt;&gt;0),$Q$9*-10,20)</f>
        <v>-20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8">
        <f>COUNTA(Spieltag!K404:AA404)</f>
        <v>0</v>
      </c>
      <c r="C417" s="165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20</v>
      </c>
      <c r="P417" s="16">
        <f t="shared" si="1300"/>
        <v>30</v>
      </c>
      <c r="Q417" s="16">
        <f>IF(($Q$9&lt;&gt;0),$Q$9*-10,20)</f>
        <v>-20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8">
        <f>COUNTA(Spieltag!K405:AA405)</f>
        <v>0</v>
      </c>
      <c r="C418" s="165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20</v>
      </c>
      <c r="P418" s="16">
        <f t="shared" si="1300"/>
        <v>30</v>
      </c>
      <c r="Q418" s="16">
        <f>IF(($Q$9&lt;&gt;0),$Q$9*-10,20)</f>
        <v>-20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8">
        <f>COUNTA(Spieltag!K406:AA406)</f>
        <v>0</v>
      </c>
      <c r="C419" s="165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20</v>
      </c>
      <c r="P419" s="16">
        <f t="shared" si="1300"/>
        <v>30</v>
      </c>
      <c r="Q419" s="16">
        <f>IF(($Q$9&lt;&gt;0),$Q$9*-10,20)</f>
        <v>-20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8">
        <f>COUNTA(Spieltag!K407:AA407)</f>
        <v>0</v>
      </c>
      <c r="C420" s="165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20</v>
      </c>
      <c r="P420" s="16">
        <f t="shared" si="1300"/>
        <v>30</v>
      </c>
      <c r="Q420" s="16">
        <f t="shared" ref="Q420:Q431" si="1315">IF(($Q$9&lt;&gt;0),$Q$9*-10,15)</f>
        <v>-20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8">
        <f>COUNTA(Spieltag!K408:AA408)</f>
        <v>0</v>
      </c>
      <c r="C421" s="165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20</v>
      </c>
      <c r="P421" s="16">
        <f t="shared" si="1300"/>
        <v>30</v>
      </c>
      <c r="Q421" s="16">
        <f t="shared" si="1315"/>
        <v>-20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8">
        <f>COUNTA(Spieltag!K409:AA409)</f>
        <v>0</v>
      </c>
      <c r="C422" s="165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20</v>
      </c>
      <c r="P422" s="16">
        <f t="shared" si="1300"/>
        <v>30</v>
      </c>
      <c r="Q422" s="16">
        <f t="shared" si="1315"/>
        <v>-20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8">
        <f>COUNTA(Spieltag!K410:AA410)</f>
        <v>0</v>
      </c>
      <c r="C423" s="165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20</v>
      </c>
      <c r="P423" s="16">
        <f t="shared" si="1300"/>
        <v>30</v>
      </c>
      <c r="Q423" s="16">
        <f t="shared" si="1315"/>
        <v>-20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8">
        <f>COUNTA(Spieltag!K411:AA411)</f>
        <v>0</v>
      </c>
      <c r="C424" s="165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20</v>
      </c>
      <c r="P424" s="16">
        <f t="shared" si="1300"/>
        <v>30</v>
      </c>
      <c r="Q424" s="16">
        <f t="shared" si="1315"/>
        <v>-20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8">
        <f>COUNTA(Spieltag!K412:AA412)</f>
        <v>0</v>
      </c>
      <c r="C425" s="165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20</v>
      </c>
      <c r="P425" s="16">
        <f t="shared" si="1300"/>
        <v>30</v>
      </c>
      <c r="Q425" s="16">
        <f t="shared" si="1315"/>
        <v>-20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8">
        <f>COUNTA(Spieltag!K413:AA413)</f>
        <v>0</v>
      </c>
      <c r="C426" s="165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20</v>
      </c>
      <c r="P426" s="16">
        <f t="shared" si="1300"/>
        <v>30</v>
      </c>
      <c r="Q426" s="16">
        <f t="shared" si="1315"/>
        <v>-20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8">
        <f>COUNTA(Spieltag!K414:AA414)</f>
        <v>0</v>
      </c>
      <c r="C427" s="165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20</v>
      </c>
      <c r="P427" s="16">
        <f t="shared" si="1300"/>
        <v>30</v>
      </c>
      <c r="Q427" s="16">
        <f t="shared" si="1315"/>
        <v>-20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8">
        <f>COUNTA(Spieltag!K415:AA415)</f>
        <v>0</v>
      </c>
      <c r="C428" s="165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20</v>
      </c>
      <c r="P428" s="16">
        <f t="shared" si="1300"/>
        <v>30</v>
      </c>
      <c r="Q428" s="16">
        <f t="shared" si="1315"/>
        <v>-20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8">
        <f>COUNTA(Spieltag!K416:AA416)</f>
        <v>0</v>
      </c>
      <c r="C429" s="165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20</v>
      </c>
      <c r="P429" s="16">
        <f t="shared" si="1300"/>
        <v>30</v>
      </c>
      <c r="Q429" s="16">
        <f t="shared" si="1315"/>
        <v>-20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8">
        <f>COUNTA(Spieltag!K417:AA417)</f>
        <v>0</v>
      </c>
      <c r="C430" s="165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20</v>
      </c>
      <c r="P430" s="16">
        <f t="shared" si="1300"/>
        <v>30</v>
      </c>
      <c r="Q430" s="16">
        <f t="shared" si="1315"/>
        <v>-20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8">
        <f>COUNTA(Spieltag!K418:AA418)</f>
        <v>0</v>
      </c>
      <c r="C431" s="165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20</v>
      </c>
      <c r="P431" s="16">
        <f t="shared" si="1300"/>
        <v>30</v>
      </c>
      <c r="Q431" s="16">
        <f t="shared" si="1315"/>
        <v>-20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8">
        <f>COUNTA(Spieltag!K419:AA419)</f>
        <v>0</v>
      </c>
      <c r="C432" s="165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20</v>
      </c>
      <c r="P432" s="16">
        <f t="shared" ref="P432:P444" si="1349">IF(($P$9&lt;&gt;0),$P$9*10,-5)</f>
        <v>30</v>
      </c>
      <c r="Q432" s="16">
        <f t="shared" ref="Q432:Q439" si="1350">IF(($Q$9&lt;&gt;0),$Q$9*-10,10)</f>
        <v>-20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8">
        <f>COUNTA(Spieltag!K420:AA420)</f>
        <v>0</v>
      </c>
      <c r="C433" s="165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20</v>
      </c>
      <c r="P433" s="16">
        <f t="shared" si="1349"/>
        <v>30</v>
      </c>
      <c r="Q433" s="16">
        <f t="shared" si="1350"/>
        <v>-20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8">
        <f>COUNTA(Spieltag!K421:AA421)</f>
        <v>0</v>
      </c>
      <c r="C434" s="165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20</v>
      </c>
      <c r="P434" s="16">
        <f t="shared" si="1349"/>
        <v>30</v>
      </c>
      <c r="Q434" s="16">
        <f t="shared" si="1350"/>
        <v>-20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8">
        <f>COUNTA(Spieltag!K422:AA422)</f>
        <v>0</v>
      </c>
      <c r="C435" s="165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20</v>
      </c>
      <c r="P435" s="16">
        <f t="shared" si="1349"/>
        <v>30</v>
      </c>
      <c r="Q435" s="16">
        <f t="shared" si="1350"/>
        <v>-20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8">
        <f>COUNTA(Spieltag!K423:AA423)</f>
        <v>0</v>
      </c>
      <c r="C436" s="165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20</v>
      </c>
      <c r="P436" s="16">
        <f t="shared" si="1349"/>
        <v>30</v>
      </c>
      <c r="Q436" s="16">
        <f t="shared" si="1350"/>
        <v>-20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8">
        <f>COUNTA(Spieltag!K424:AA424)</f>
        <v>0</v>
      </c>
      <c r="C437" s="165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20</v>
      </c>
      <c r="P437" s="16">
        <f t="shared" si="1349"/>
        <v>30</v>
      </c>
      <c r="Q437" s="16">
        <f t="shared" si="1350"/>
        <v>-20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8">
        <f>COUNTA(Spieltag!K425:AA425)</f>
        <v>0</v>
      </c>
      <c r="C438" s="165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20</v>
      </c>
      <c r="P438" s="16">
        <f t="shared" si="1349"/>
        <v>30</v>
      </c>
      <c r="Q438" s="16">
        <f t="shared" si="1350"/>
        <v>-20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8">
        <f>COUNTA(Spieltag!K426:AA426)</f>
        <v>0</v>
      </c>
      <c r="C439" s="165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20</v>
      </c>
      <c r="P439" s="16">
        <f t="shared" si="1349"/>
        <v>30</v>
      </c>
      <c r="Q439" s="16">
        <f t="shared" si="1350"/>
        <v>-20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8">
        <f>COUNTA(Spieltag!K427:AA427)</f>
        <v>0</v>
      </c>
      <c r="C440" s="165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20</v>
      </c>
      <c r="P440" s="16">
        <f t="shared" si="1349"/>
        <v>30</v>
      </c>
      <c r="Q440" s="16">
        <f>IF(($Q$9&lt;&gt;0),$Q$9*-10,5)</f>
        <v>-20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8">
        <f>COUNTA(Spieltag!K428:AA428)</f>
        <v>0</v>
      </c>
      <c r="C441" s="165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20</v>
      </c>
      <c r="P441" s="16">
        <f t="shared" si="1349"/>
        <v>30</v>
      </c>
      <c r="Q441" s="16">
        <f t="shared" ref="Q441:Q444" si="1375">IF(($Q$9&lt;&gt;0),$Q$9*-10,5)</f>
        <v>-20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8">
        <f>COUNTA(Spieltag!K429:AA429)</f>
        <v>0</v>
      </c>
      <c r="C442" s="165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20</v>
      </c>
      <c r="P442" s="16">
        <f t="shared" si="1349"/>
        <v>30</v>
      </c>
      <c r="Q442" s="16">
        <f t="shared" si="1375"/>
        <v>-20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8">
        <f>COUNTA(Spieltag!K430:AA430)</f>
        <v>0</v>
      </c>
      <c r="C443" s="165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20</v>
      </c>
      <c r="P443" s="16">
        <f t="shared" si="1349"/>
        <v>30</v>
      </c>
      <c r="Q443" s="16">
        <f t="shared" si="1375"/>
        <v>-20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8">
        <f>COUNTA(Spieltag!K431:AA431)</f>
        <v>0</v>
      </c>
      <c r="C444" s="165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20</v>
      </c>
      <c r="P444" s="16">
        <f t="shared" si="1349"/>
        <v>30</v>
      </c>
      <c r="Q444" s="16">
        <f t="shared" si="1375"/>
        <v>-20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3" customFormat="1" ht="17.25" hidden="1" thickBot="1" x14ac:dyDescent="0.25">
      <c r="A445" s="141"/>
      <c r="B445" s="142">
        <f>SUM(B446:B473)</f>
        <v>0</v>
      </c>
      <c r="C445" s="157"/>
      <c r="D445" s="220" t="s">
        <v>96</v>
      </c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1"/>
    </row>
    <row r="446" spans="1:23" ht="10.5" hidden="1" customHeight="1" x14ac:dyDescent="0.2">
      <c r="A446" s="11"/>
      <c r="B446" s="148">
        <f>COUNTA(Spieltag!K433:AA433)</f>
        <v>0</v>
      </c>
      <c r="C446" s="165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/>
      <c r="H446" s="15">
        <f t="shared" ref="H446:H449" si="1388">IF(G446="x",10,0)</f>
        <v>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0</v>
      </c>
      <c r="P446" s="16">
        <f t="shared" ref="P446:P469" si="1393">IF(($V$7&lt;&gt;0),$V$7*10,-5)</f>
        <v>-5</v>
      </c>
      <c r="Q446" s="16">
        <f>IF(($W$7&lt;&gt;0),$W$7*-10,20)</f>
        <v>-10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0</v>
      </c>
    </row>
    <row r="447" spans="1:23" ht="10.5" hidden="1" customHeight="1" x14ac:dyDescent="0.2">
      <c r="A447" s="11"/>
      <c r="B447" s="148">
        <f>COUNTA(Spieltag!K434:AA434)</f>
        <v>0</v>
      </c>
      <c r="C447" s="165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0</v>
      </c>
      <c r="P447" s="16">
        <f t="shared" si="1393"/>
        <v>-5</v>
      </c>
      <c r="Q447" s="16">
        <f t="shared" ref="Q447:Q448" si="1401">IF(($W$7&lt;&gt;0),$W$7*-10,20)</f>
        <v>-10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8">
        <f>COUNTA(Spieltag!K435:AA435)</f>
        <v>0</v>
      </c>
      <c r="C448" s="165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0</v>
      </c>
      <c r="P448" s="16">
        <f t="shared" si="1393"/>
        <v>-5</v>
      </c>
      <c r="Q448" s="16">
        <f t="shared" si="1401"/>
        <v>-10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8">
        <f>COUNTA(Spieltag!K436:AA436)</f>
        <v>0</v>
      </c>
      <c r="C449" s="165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0</v>
      </c>
      <c r="P449" s="16">
        <f t="shared" si="1393"/>
        <v>-5</v>
      </c>
      <c r="Q449" s="16">
        <f t="shared" ref="Q449:Q458" si="1406">IF(($W$7&lt;&gt;0),$W$7*-10,15)</f>
        <v>-10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8">
        <f>COUNTA(Spieltag!K437:AA437)</f>
        <v>0</v>
      </c>
      <c r="C450" s="165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0</v>
      </c>
      <c r="P450" s="16">
        <f t="shared" si="1393"/>
        <v>-5</v>
      </c>
      <c r="Q450" s="16">
        <f t="shared" si="1406"/>
        <v>-10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8">
        <f>COUNTA(Spieltag!K438:AA438)</f>
        <v>0</v>
      </c>
      <c r="C451" s="165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0</v>
      </c>
      <c r="P451" s="16">
        <f t="shared" si="1393"/>
        <v>-5</v>
      </c>
      <c r="Q451" s="16">
        <f t="shared" si="1406"/>
        <v>-10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8">
        <f>COUNTA(Spieltag!K439:AA439)</f>
        <v>0</v>
      </c>
      <c r="C452" s="165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0</v>
      </c>
      <c r="P452" s="16">
        <f t="shared" si="1393"/>
        <v>-5</v>
      </c>
      <c r="Q452" s="16">
        <f t="shared" si="1406"/>
        <v>-10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8">
        <f>COUNTA(Spieltag!K440:AA440)</f>
        <v>0</v>
      </c>
      <c r="C453" s="165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0</v>
      </c>
      <c r="P453" s="16">
        <f t="shared" si="1393"/>
        <v>-5</v>
      </c>
      <c r="Q453" s="16">
        <f t="shared" si="1406"/>
        <v>-10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hidden="1" customHeight="1" x14ac:dyDescent="0.2">
      <c r="A454" s="11"/>
      <c r="B454" s="148">
        <f>COUNTA(Spieltag!K441:AA441)</f>
        <v>0</v>
      </c>
      <c r="C454" s="165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/>
      <c r="H454" s="15">
        <f t="shared" si="1407"/>
        <v>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0</v>
      </c>
      <c r="P454" s="16">
        <f t="shared" si="1393"/>
        <v>-5</v>
      </c>
      <c r="Q454" s="16">
        <f t="shared" si="1406"/>
        <v>-10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0</v>
      </c>
    </row>
    <row r="455" spans="1:23" ht="10.5" hidden="1" customHeight="1" x14ac:dyDescent="0.2">
      <c r="A455" s="11"/>
      <c r="B455" s="148">
        <f>COUNTA(Spieltag!K442:AA442)</f>
        <v>0</v>
      </c>
      <c r="C455" s="165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0</v>
      </c>
      <c r="P455" s="16">
        <f t="shared" si="1393"/>
        <v>-5</v>
      </c>
      <c r="Q455" s="16">
        <f t="shared" si="1406"/>
        <v>-10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8">
        <f>COUNTA(Spieltag!K443:AA443)</f>
        <v>0</v>
      </c>
      <c r="C456" s="165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0</v>
      </c>
      <c r="P456" s="16">
        <f t="shared" si="1393"/>
        <v>-5</v>
      </c>
      <c r="Q456" s="16">
        <f t="shared" si="1406"/>
        <v>-10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8">
        <f>COUNTA(Spieltag!K444:AA444)</f>
        <v>0</v>
      </c>
      <c r="C457" s="165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0</v>
      </c>
      <c r="P457" s="16">
        <f t="shared" si="1393"/>
        <v>-5</v>
      </c>
      <c r="Q457" s="16">
        <f t="shared" si="1406"/>
        <v>-10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8">
        <f>COUNTA(Spieltag!K445:AA445)</f>
        <v>0</v>
      </c>
      <c r="C458" s="165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0</v>
      </c>
      <c r="P458" s="16">
        <f t="shared" si="1393"/>
        <v>-5</v>
      </c>
      <c r="Q458" s="16">
        <f t="shared" si="1406"/>
        <v>-10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hidden="1" customHeight="1" x14ac:dyDescent="0.2">
      <c r="A459" s="11"/>
      <c r="B459" s="148">
        <f>COUNTA(Spieltag!K446:AA446)</f>
        <v>0</v>
      </c>
      <c r="C459" s="165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/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0</v>
      </c>
      <c r="P459" s="16">
        <f t="shared" si="1393"/>
        <v>-5</v>
      </c>
      <c r="Q459" s="16">
        <f t="shared" ref="Q459:Q469" si="1415">IF(($W$7&lt;&gt;0),$W$7*-10,10)</f>
        <v>-10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8">
        <f>COUNTA(Spieltag!K447:AA447)</f>
        <v>0</v>
      </c>
      <c r="C460" s="165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0</v>
      </c>
      <c r="P460" s="16">
        <f t="shared" si="1393"/>
        <v>-5</v>
      </c>
      <c r="Q460" s="16">
        <f t="shared" si="1415"/>
        <v>-10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8">
        <f>COUNTA(Spieltag!K448:AA448)</f>
        <v>0</v>
      </c>
      <c r="C461" s="165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0</v>
      </c>
      <c r="P461" s="16">
        <f t="shared" si="1393"/>
        <v>-5</v>
      </c>
      <c r="Q461" s="16">
        <f t="shared" si="1415"/>
        <v>-10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8">
        <f>COUNTA(Spieltag!K449:AA449)</f>
        <v>0</v>
      </c>
      <c r="C462" s="165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0</v>
      </c>
      <c r="P462" s="16">
        <f t="shared" si="1393"/>
        <v>-5</v>
      </c>
      <c r="Q462" s="16">
        <f t="shared" si="1415"/>
        <v>-10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8">
        <f>COUNTA(Spieltag!K450:AA450)</f>
        <v>0</v>
      </c>
      <c r="C463" s="165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0</v>
      </c>
      <c r="P463" s="16">
        <f t="shared" si="1393"/>
        <v>-5</v>
      </c>
      <c r="Q463" s="16">
        <f t="shared" si="1415"/>
        <v>-10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8">
        <f>COUNTA(Spieltag!K451:AA451)</f>
        <v>0</v>
      </c>
      <c r="C464" s="165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0</v>
      </c>
      <c r="P464" s="16">
        <f t="shared" si="1393"/>
        <v>-5</v>
      </c>
      <c r="Q464" s="16">
        <f t="shared" si="1415"/>
        <v>-10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8">
        <f>COUNTA(Spieltag!K452:AA452)</f>
        <v>0</v>
      </c>
      <c r="C465" s="165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0</v>
      </c>
      <c r="P465" s="16">
        <f t="shared" si="1393"/>
        <v>-5</v>
      </c>
      <c r="Q465" s="16">
        <f t="shared" si="1415"/>
        <v>-10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8">
        <f>COUNTA(Spieltag!K453:AA453)</f>
        <v>0</v>
      </c>
      <c r="C466" s="165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0</v>
      </c>
      <c r="P466" s="16">
        <f t="shared" si="1393"/>
        <v>-5</v>
      </c>
      <c r="Q466" s="16">
        <f t="shared" si="1415"/>
        <v>-10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8">
        <f>COUNTA(Spieltag!K454:AA454)</f>
        <v>0</v>
      </c>
      <c r="C467" s="165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0</v>
      </c>
      <c r="P467" s="16">
        <f t="shared" si="1393"/>
        <v>-5</v>
      </c>
      <c r="Q467" s="16">
        <f t="shared" si="1415"/>
        <v>-10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8">
        <f>COUNTA(Spieltag!K455:AA455)</f>
        <v>0</v>
      </c>
      <c r="C468" s="165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0</v>
      </c>
      <c r="P468" s="16">
        <f t="shared" si="1393"/>
        <v>-5</v>
      </c>
      <c r="Q468" s="16">
        <f t="shared" si="1415"/>
        <v>-10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8">
        <f>COUNTA(Spieltag!K456:AA456)</f>
        <v>0</v>
      </c>
      <c r="C469" s="165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0</v>
      </c>
      <c r="P469" s="16">
        <f t="shared" si="1393"/>
        <v>-5</v>
      </c>
      <c r="Q469" s="16">
        <f t="shared" si="1415"/>
        <v>-10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8">
        <f>COUNTA(Spieltag!K457:AA457)</f>
        <v>0</v>
      </c>
      <c r="C470" s="165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0</v>
      </c>
      <c r="P470" s="16">
        <f t="shared" ref="P470:P473" si="1441">IF(($V$7&lt;&gt;0),$V$7*10,-5)</f>
        <v>-5</v>
      </c>
      <c r="Q470" s="16">
        <f t="shared" ref="Q470:Q473" si="1442">IF(($W$7&lt;&gt;0),$W$7*-10,5)</f>
        <v>-10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8">
        <f>COUNTA(Spieltag!K458:AA458)</f>
        <v>0</v>
      </c>
      <c r="C471" s="165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/>
      <c r="H471" s="15">
        <f t="shared" ref="H471:H473" si="1443">IF(G471="x",10,0)</f>
        <v>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0</v>
      </c>
      <c r="P471" s="16">
        <f t="shared" si="1441"/>
        <v>-5</v>
      </c>
      <c r="Q471" s="16">
        <f t="shared" si="1442"/>
        <v>-10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0</v>
      </c>
    </row>
    <row r="472" spans="1:23" ht="10.5" hidden="1" customHeight="1" x14ac:dyDescent="0.2">
      <c r="A472" s="11"/>
      <c r="B472" s="148">
        <f>COUNTA(Spieltag!K459:AA459)</f>
        <v>0</v>
      </c>
      <c r="C472" s="165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0</v>
      </c>
      <c r="P472" s="16">
        <f t="shared" si="1441"/>
        <v>-5</v>
      </c>
      <c r="Q472" s="16">
        <f t="shared" si="1442"/>
        <v>-10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8">
        <f>COUNTA(Spieltag!K460:AA460)</f>
        <v>0</v>
      </c>
      <c r="C473" s="165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0</v>
      </c>
      <c r="P473" s="16">
        <f t="shared" si="1441"/>
        <v>-5</v>
      </c>
      <c r="Q473" s="16">
        <f t="shared" si="1442"/>
        <v>-10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3" customFormat="1" ht="17.25" thickBot="1" x14ac:dyDescent="0.25">
      <c r="A474" s="141"/>
      <c r="B474" s="142">
        <f>SUM(B475:B506)</f>
        <v>16</v>
      </c>
      <c r="C474" s="157"/>
      <c r="D474" s="220" t="s">
        <v>225</v>
      </c>
      <c r="E474" s="220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1"/>
    </row>
    <row r="475" spans="1:23" ht="10.5" hidden="1" customHeight="1" x14ac:dyDescent="0.2">
      <c r="A475" s="11"/>
      <c r="B475" s="149">
        <f>COUNTA(Spieltag!K462:AA462)</f>
        <v>0</v>
      </c>
      <c r="C475" s="165">
        <f>Spieltag!A462</f>
        <v>1</v>
      </c>
      <c r="D475" s="21" t="str">
        <f>Spieltag!B462</f>
        <v>Fabian Bredlow</v>
      </c>
      <c r="E475" s="150" t="str">
        <f>Spieltag!C462</f>
        <v>Torwart</v>
      </c>
      <c r="F475" s="151" t="s">
        <v>224</v>
      </c>
      <c r="G475" s="152"/>
      <c r="H475" s="153">
        <f t="shared" ref="H475:H477" si="1451">IF(G475="x",10,0)</f>
        <v>0</v>
      </c>
      <c r="I475" s="152"/>
      <c r="J475" s="153">
        <f t="shared" ref="J475:J477" si="1452">IF((I475="x"),-10,0)</f>
        <v>0</v>
      </c>
      <c r="K475" s="152"/>
      <c r="L475" s="153">
        <f t="shared" ref="L475:L477" si="1453">IF((K475="x"),-20,0)</f>
        <v>0</v>
      </c>
      <c r="M475" s="152"/>
      <c r="N475" s="153">
        <f t="shared" ref="N475:N477" si="1454">IF((M475="x"),-30,0)</f>
        <v>0</v>
      </c>
      <c r="O475" s="154">
        <f t="shared" ref="O475:O478" si="1455">IF(AND($P$10&gt;$Q$10),20,IF($P$10=$Q$10,10,0))</f>
        <v>20</v>
      </c>
      <c r="P475" s="154">
        <f t="shared" ref="P475:P478" si="1456">IF(($P$10&lt;&gt;0),$P$10*10,-5)</f>
        <v>20</v>
      </c>
      <c r="Q475" s="154">
        <f t="shared" ref="Q475:Q478" si="1457">IF(($Q$10&lt;&gt;0),$Q$10*-10,20)</f>
        <v>-10</v>
      </c>
      <c r="R475" s="152"/>
      <c r="S475" s="153">
        <f t="shared" ref="S475:S477" si="1458">R475*20</f>
        <v>0</v>
      </c>
      <c r="T475" s="152"/>
      <c r="U475" s="153">
        <f t="shared" ref="U475:U477" si="1459">T475*-15</f>
        <v>0</v>
      </c>
      <c r="V475" s="154">
        <f t="shared" ref="V475:V477" si="1460">IF(AND(R475=2),10,IF(R475=3,30,IF(R475=4,50,IF(R475=5,70,0))))</f>
        <v>0</v>
      </c>
      <c r="W475" s="155">
        <f t="shared" ref="W475:W477" si="1461">IF(G475="x",H475+J475+L475+N475+O475+P475+Q475+S475+U475+V475,0)</f>
        <v>0</v>
      </c>
    </row>
    <row r="476" spans="1:23" ht="10.5" customHeight="1" x14ac:dyDescent="0.2">
      <c r="A476" s="11"/>
      <c r="B476" s="149">
        <f>COUNTA(Spieltag!K463:AA463)</f>
        <v>1</v>
      </c>
      <c r="C476" s="165">
        <f>Spieltag!A463</f>
        <v>33</v>
      </c>
      <c r="D476" s="21" t="str">
        <f>Spieltag!B463</f>
        <v>Alexander Nübel</v>
      </c>
      <c r="E476" s="150" t="str">
        <f>Spieltag!C463</f>
        <v>Torwart</v>
      </c>
      <c r="F476" s="151" t="s">
        <v>224</v>
      </c>
      <c r="G476" s="152" t="s">
        <v>59</v>
      </c>
      <c r="H476" s="153">
        <f t="shared" si="1451"/>
        <v>0</v>
      </c>
      <c r="I476" s="152"/>
      <c r="J476" s="153">
        <f t="shared" si="1452"/>
        <v>0</v>
      </c>
      <c r="K476" s="152"/>
      <c r="L476" s="153">
        <f t="shared" si="1453"/>
        <v>0</v>
      </c>
      <c r="M476" s="152"/>
      <c r="N476" s="153">
        <f t="shared" si="1454"/>
        <v>0</v>
      </c>
      <c r="O476" s="154">
        <f t="shared" si="1455"/>
        <v>20</v>
      </c>
      <c r="P476" s="154">
        <f t="shared" si="1456"/>
        <v>20</v>
      </c>
      <c r="Q476" s="154">
        <f t="shared" si="1457"/>
        <v>-10</v>
      </c>
      <c r="R476" s="152"/>
      <c r="S476" s="153">
        <f t="shared" si="1458"/>
        <v>0</v>
      </c>
      <c r="T476" s="152"/>
      <c r="U476" s="153">
        <f t="shared" si="1459"/>
        <v>0</v>
      </c>
      <c r="V476" s="154">
        <f t="shared" si="1460"/>
        <v>0</v>
      </c>
      <c r="W476" s="155">
        <f t="shared" si="1461"/>
        <v>0</v>
      </c>
    </row>
    <row r="477" spans="1:23" ht="10.5" hidden="1" customHeight="1" x14ac:dyDescent="0.2">
      <c r="A477" s="11"/>
      <c r="B477" s="149">
        <f>COUNTA(Spieltag!K464:AA464)</f>
        <v>0</v>
      </c>
      <c r="C477" s="165">
        <f>Spieltag!A464</f>
        <v>41</v>
      </c>
      <c r="D477" s="21" t="str">
        <f>Spieltag!B464</f>
        <v>Dennis Seimen</v>
      </c>
      <c r="E477" s="150" t="str">
        <f>Spieltag!C464</f>
        <v>Torwart</v>
      </c>
      <c r="F477" s="151" t="s">
        <v>224</v>
      </c>
      <c r="G477" s="152"/>
      <c r="H477" s="153">
        <f t="shared" si="1451"/>
        <v>0</v>
      </c>
      <c r="I477" s="152"/>
      <c r="J477" s="153">
        <f t="shared" si="1452"/>
        <v>0</v>
      </c>
      <c r="K477" s="152"/>
      <c r="L477" s="153">
        <f t="shared" si="1453"/>
        <v>0</v>
      </c>
      <c r="M477" s="152"/>
      <c r="N477" s="153">
        <f t="shared" si="1454"/>
        <v>0</v>
      </c>
      <c r="O477" s="154">
        <f t="shared" si="1455"/>
        <v>20</v>
      </c>
      <c r="P477" s="154">
        <f t="shared" si="1456"/>
        <v>20</v>
      </c>
      <c r="Q477" s="154">
        <f t="shared" si="1457"/>
        <v>-10</v>
      </c>
      <c r="R477" s="152"/>
      <c r="S477" s="153">
        <f t="shared" si="1458"/>
        <v>0</v>
      </c>
      <c r="T477" s="152"/>
      <c r="U477" s="153">
        <f t="shared" si="1459"/>
        <v>0</v>
      </c>
      <c r="V477" s="154">
        <f t="shared" si="1460"/>
        <v>0</v>
      </c>
      <c r="W477" s="155">
        <f t="shared" si="1461"/>
        <v>0</v>
      </c>
    </row>
    <row r="478" spans="1:23" ht="10.5" hidden="1" customHeight="1" x14ac:dyDescent="0.2">
      <c r="A478" s="11"/>
      <c r="B478" s="149">
        <f>COUNTA(Spieltag!K465:AA465)</f>
        <v>0</v>
      </c>
      <c r="C478" s="165">
        <f>Spieltag!A465</f>
        <v>42</v>
      </c>
      <c r="D478" s="21" t="str">
        <f>Spieltag!B465</f>
        <v>Florian Schock</v>
      </c>
      <c r="E478" s="150" t="str">
        <f>Spieltag!C465</f>
        <v>Torwart</v>
      </c>
      <c r="F478" s="151" t="s">
        <v>224</v>
      </c>
      <c r="G478" s="152"/>
      <c r="H478" s="153">
        <f t="shared" ref="H478" si="1462">IF(G478="x",10,0)</f>
        <v>0</v>
      </c>
      <c r="I478" s="152"/>
      <c r="J478" s="153">
        <f t="shared" ref="J478" si="1463">IF((I478="x"),-10,0)</f>
        <v>0</v>
      </c>
      <c r="K478" s="152"/>
      <c r="L478" s="153">
        <f t="shared" ref="L478" si="1464">IF((K478="x"),-20,0)</f>
        <v>0</v>
      </c>
      <c r="M478" s="152"/>
      <c r="N478" s="153">
        <f t="shared" ref="N478" si="1465">IF((M478="x"),-30,0)</f>
        <v>0</v>
      </c>
      <c r="O478" s="154">
        <f t="shared" si="1455"/>
        <v>20</v>
      </c>
      <c r="P478" s="154">
        <f t="shared" si="1456"/>
        <v>20</v>
      </c>
      <c r="Q478" s="154">
        <f t="shared" si="1457"/>
        <v>-10</v>
      </c>
      <c r="R478" s="152"/>
      <c r="S478" s="153">
        <f t="shared" ref="S478" si="1466">R478*20</f>
        <v>0</v>
      </c>
      <c r="T478" s="152"/>
      <c r="U478" s="153">
        <f t="shared" ref="U478" si="1467">T478*-15</f>
        <v>0</v>
      </c>
      <c r="V478" s="154">
        <f t="shared" ref="V478" si="1468">IF(AND(R478=2),10,IF(R478=3,30,IF(R478=4,50,IF(R478=5,70,0))))</f>
        <v>0</v>
      </c>
      <c r="W478" s="155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8">
        <f>COUNTA(Spieltag!K466:AA466)</f>
        <v>2</v>
      </c>
      <c r="C479" s="165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1" t="s">
        <v>224</v>
      </c>
      <c r="G479" s="14" t="s">
        <v>678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20</v>
      </c>
      <c r="Q479" s="16">
        <f t="shared" ref="Q479:Q487" si="1476">IF(($Q$10&lt;&gt;0),$Q$10*-10,15)</f>
        <v>-10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40</v>
      </c>
    </row>
    <row r="480" spans="1:23" ht="10.5" hidden="1" customHeight="1" x14ac:dyDescent="0.2">
      <c r="A480" s="11"/>
      <c r="B480" s="148">
        <f>COUNTA(Spieltag!K467:AA467)</f>
        <v>0</v>
      </c>
      <c r="C480" s="165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1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20</v>
      </c>
      <c r="Q480" s="16">
        <f t="shared" si="1476"/>
        <v>-10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8">
        <f>COUNTA(Spieltag!K468:AA468)</f>
        <v>1</v>
      </c>
      <c r="C481" s="165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1" t="s">
        <v>224</v>
      </c>
      <c r="G481" s="14" t="s">
        <v>678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20</v>
      </c>
      <c r="Q481" s="16">
        <f t="shared" si="1476"/>
        <v>-10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40</v>
      </c>
    </row>
    <row r="482" spans="1:23" ht="10.5" hidden="1" customHeight="1" x14ac:dyDescent="0.2">
      <c r="A482" s="11"/>
      <c r="B482" s="148">
        <f>COUNTA(Spieltag!K469:AA469)</f>
        <v>0</v>
      </c>
      <c r="C482" s="165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1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20</v>
      </c>
      <c r="Q482" s="16">
        <f t="shared" si="1476"/>
        <v>-10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8">
        <f>COUNTA(Spieltag!K470:AA470)</f>
        <v>0</v>
      </c>
      <c r="C483" s="165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1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20</v>
      </c>
      <c r="Q483" s="16">
        <f t="shared" si="1476"/>
        <v>-10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8">
        <f>COUNTA(Spieltag!K471:AA471)</f>
        <v>0</v>
      </c>
      <c r="C484" s="165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1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20</v>
      </c>
      <c r="Q484" s="16">
        <f t="shared" si="1476"/>
        <v>-10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8">
        <f>COUNTA(Spieltag!K472:AA472)</f>
        <v>0</v>
      </c>
      <c r="C485" s="165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1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20</v>
      </c>
      <c r="Q485" s="16">
        <f t="shared" si="1476"/>
        <v>-10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8">
        <f>COUNTA(Spieltag!K473:AA473)</f>
        <v>0</v>
      </c>
      <c r="C486" s="165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1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20</v>
      </c>
      <c r="Q486" s="16">
        <f t="shared" si="1476"/>
        <v>-10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8">
        <f>COUNTA(Spieltag!K474:AA474)</f>
        <v>0</v>
      </c>
      <c r="C487" s="165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1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20</v>
      </c>
      <c r="Q487" s="16">
        <f t="shared" si="1476"/>
        <v>-10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8">
        <f>COUNTA(Spieltag!K475:AA475)</f>
        <v>0</v>
      </c>
      <c r="C488" s="165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1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20</v>
      </c>
      <c r="Q488" s="16">
        <f t="shared" ref="Q488:Q501" si="1503">IF(($Q$10&lt;&gt;0),$Q$10*-10,10)</f>
        <v>-10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8">
        <f>COUNTA(Spieltag!K476:AA476)</f>
        <v>0</v>
      </c>
      <c r="C489" s="165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1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20</v>
      </c>
      <c r="Q489" s="16">
        <f t="shared" si="1503"/>
        <v>-10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8">
        <f>COUNTA(Spieltag!K477:AA477)</f>
        <v>0</v>
      </c>
      <c r="C490" s="165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1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20</v>
      </c>
      <c r="Q490" s="16">
        <f t="shared" si="1503"/>
        <v>-10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8">
        <f>COUNTA(Spieltag!K478:AA478)</f>
        <v>0</v>
      </c>
      <c r="C491" s="165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1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20</v>
      </c>
      <c r="Q491" s="16">
        <f t="shared" si="1503"/>
        <v>-10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8">
        <f>COUNTA(Spieltag!K479:AA479)</f>
        <v>0</v>
      </c>
      <c r="C492" s="165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1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20</v>
      </c>
      <c r="Q492" s="16">
        <f t="shared" si="1503"/>
        <v>-10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8">
        <f>COUNTA(Spieltag!K480:AA480)</f>
        <v>0</v>
      </c>
      <c r="C493" s="165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1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20</v>
      </c>
      <c r="Q493" s="16">
        <f t="shared" si="1503"/>
        <v>-10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8">
        <f>COUNTA(Spieltag!K481:AA481)</f>
        <v>0</v>
      </c>
      <c r="C494" s="165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1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20</v>
      </c>
      <c r="Q494" s="16">
        <f t="shared" si="1503"/>
        <v>-10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8">
        <f>COUNTA(Spieltag!K482:AA482)</f>
        <v>5</v>
      </c>
      <c r="C495" s="165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1" t="s">
        <v>224</v>
      </c>
      <c r="G495" s="14" t="s">
        <v>678</v>
      </c>
      <c r="H495" s="15">
        <f t="shared" si="1509"/>
        <v>10</v>
      </c>
      <c r="I495" s="14" t="s">
        <v>678</v>
      </c>
      <c r="J495" s="15">
        <f t="shared" si="1510"/>
        <v>-10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20</v>
      </c>
      <c r="Q495" s="16">
        <f t="shared" si="1503"/>
        <v>-10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30</v>
      </c>
    </row>
    <row r="496" spans="1:23" ht="10.5" hidden="1" customHeight="1" x14ac:dyDescent="0.2">
      <c r="A496" s="11"/>
      <c r="B496" s="148">
        <f>COUNTA(Spieltag!K483:AA483)</f>
        <v>0</v>
      </c>
      <c r="C496" s="165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1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20</v>
      </c>
      <c r="Q496" s="16">
        <f t="shared" si="1503"/>
        <v>-10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8">
        <f>COUNTA(Spieltag!K484:AA484)</f>
        <v>0</v>
      </c>
      <c r="C497" s="165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1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20</v>
      </c>
      <c r="Q497" s="16">
        <f t="shared" si="1503"/>
        <v>-10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8">
        <f>COUNTA(Spieltag!K485:AA485)</f>
        <v>0</v>
      </c>
      <c r="C498" s="165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1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20</v>
      </c>
      <c r="Q498" s="16">
        <f t="shared" si="1503"/>
        <v>-10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8">
        <f>COUNTA(Spieltag!K486:AA486)</f>
        <v>0</v>
      </c>
      <c r="C499" s="165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1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20</v>
      </c>
      <c r="Q499" s="16">
        <f t="shared" si="1503"/>
        <v>-10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8">
        <f>COUNTA(Spieltag!K487:AA487)</f>
        <v>0</v>
      </c>
      <c r="C500" s="165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1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20</v>
      </c>
      <c r="Q500" s="16">
        <f t="shared" si="1503"/>
        <v>-10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8">
        <f>COUNTA(Spieltag!K488:AA488)</f>
        <v>0</v>
      </c>
      <c r="C501" s="165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1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20</v>
      </c>
      <c r="Q501" s="16">
        <f t="shared" si="1503"/>
        <v>-10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8">
        <f>COUNTA(Spieltag!K489:AA489)</f>
        <v>2</v>
      </c>
      <c r="C502" s="165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1" t="s">
        <v>224</v>
      </c>
      <c r="G502" s="14" t="s">
        <v>678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20</v>
      </c>
      <c r="Q502" s="16">
        <f t="shared" ref="Q502:Q506" si="1527">IF(($Q$10&lt;&gt;0),$Q$10*-10,5)</f>
        <v>-10</v>
      </c>
      <c r="R502" s="14">
        <v>1</v>
      </c>
      <c r="S502" s="15">
        <f>R502*10</f>
        <v>10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50</v>
      </c>
    </row>
    <row r="503" spans="1:23" ht="10.5" hidden="1" customHeight="1" x14ac:dyDescent="0.2">
      <c r="A503" s="11"/>
      <c r="B503" s="148">
        <f>COUNTA(Spieltag!K490:AA490)</f>
        <v>0</v>
      </c>
      <c r="C503" s="165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1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20</v>
      </c>
      <c r="Q503" s="16">
        <f t="shared" si="1527"/>
        <v>-10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8">
        <f>COUNTA(Spieltag!K491:AA491)</f>
        <v>0</v>
      </c>
      <c r="C504" s="165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1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20</v>
      </c>
      <c r="Q504" s="16">
        <f t="shared" si="1527"/>
        <v>-10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8">
        <f>COUNTA(Spieltag!K492:AA492)</f>
        <v>0</v>
      </c>
      <c r="C505" s="165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1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20</v>
      </c>
      <c r="Q505" s="16">
        <f t="shared" si="1527"/>
        <v>-10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customHeight="1" x14ac:dyDescent="0.2">
      <c r="A506" s="11"/>
      <c r="B506" s="148">
        <f>COUNTA(Spieltag!K493:AA493)</f>
        <v>5</v>
      </c>
      <c r="C506" s="165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1" t="s">
        <v>224</v>
      </c>
      <c r="G506" s="14" t="s">
        <v>678</v>
      </c>
      <c r="H506" s="15">
        <f t="shared" si="1528"/>
        <v>10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20</v>
      </c>
      <c r="Q506" s="16">
        <f t="shared" si="1527"/>
        <v>-10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40</v>
      </c>
    </row>
    <row r="507" spans="1:23" s="143" customFormat="1" ht="17.25" hidden="1" thickBot="1" x14ac:dyDescent="0.25">
      <c r="A507" s="141"/>
      <c r="B507" s="142">
        <f>SUM(B508:B535)</f>
        <v>0</v>
      </c>
      <c r="C507" s="157"/>
      <c r="D507" s="220" t="s">
        <v>404</v>
      </c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1"/>
    </row>
    <row r="508" spans="1:23" ht="10.5" hidden="1" customHeight="1" x14ac:dyDescent="0.2">
      <c r="A508" s="11"/>
      <c r="B508" s="148">
        <f>COUNTA(Spieltag!K495:AA495)</f>
        <v>0</v>
      </c>
      <c r="C508" s="165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0</v>
      </c>
      <c r="P508" s="16">
        <f t="shared" ref="P508:P519" si="1537">IF(($V$6&lt;&gt;0),$V$6*10,-5)</f>
        <v>10</v>
      </c>
      <c r="Q508" s="16">
        <f>IF(($W$6&lt;&gt;0),$W$6*-10,20)</f>
        <v>-20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8">
        <f>COUNTA(Spieltag!K496:AA496)</f>
        <v>0</v>
      </c>
      <c r="C509" s="165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0</v>
      </c>
      <c r="P509" s="16">
        <f t="shared" si="1537"/>
        <v>10</v>
      </c>
      <c r="Q509" s="16">
        <f t="shared" ref="Q509:Q511" si="1542">IF(($W$6&lt;&gt;0),$W$6*-10,20)</f>
        <v>-20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8">
        <f>COUNTA(Spieltag!K497:AA497)</f>
        <v>0</v>
      </c>
      <c r="C510" s="165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0</v>
      </c>
      <c r="P510" s="16">
        <f t="shared" si="1537"/>
        <v>10</v>
      </c>
      <c r="Q510" s="16">
        <f t="shared" si="1542"/>
        <v>-20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8">
        <f>COUNTA(Spieltag!K498:AA498)</f>
        <v>0</v>
      </c>
      <c r="C511" s="165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0</v>
      </c>
      <c r="P511" s="16">
        <f t="shared" si="1537"/>
        <v>10</v>
      </c>
      <c r="Q511" s="16">
        <f t="shared" si="1542"/>
        <v>-20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49">
        <f>COUNTA(Spieltag!K499:AA499)</f>
        <v>0</v>
      </c>
      <c r="C512" s="165">
        <f>Spieltag!A499</f>
        <v>2</v>
      </c>
      <c r="D512" s="21" t="str">
        <f>Spieltag!B499</f>
        <v>Marnon Busch</v>
      </c>
      <c r="E512" s="150" t="str">
        <f>Spieltag!C499</f>
        <v>Abwehr</v>
      </c>
      <c r="F512" s="151" t="s">
        <v>618</v>
      </c>
      <c r="G512" s="152"/>
      <c r="H512" s="153">
        <f t="shared" ref="H512" si="1547">IF(G512="x",10,0)</f>
        <v>0</v>
      </c>
      <c r="I512" s="152"/>
      <c r="J512" s="153">
        <f t="shared" ref="J512" si="1548">IF((I512="x"),-10,0)</f>
        <v>0</v>
      </c>
      <c r="K512" s="152"/>
      <c r="L512" s="153">
        <f t="shared" ref="L512" si="1549">IF((K512="x"),-20,0)</f>
        <v>0</v>
      </c>
      <c r="M512" s="152"/>
      <c r="N512" s="153">
        <f t="shared" ref="N512" si="1550">IF((M512="x"),-30,0)</f>
        <v>0</v>
      </c>
      <c r="O512" s="154">
        <f t="shared" si="1536"/>
        <v>0</v>
      </c>
      <c r="P512" s="154">
        <f t="shared" si="1537"/>
        <v>10</v>
      </c>
      <c r="Q512" s="154">
        <f t="shared" ref="Q512:Q519" si="1551">IF(($W$6&lt;&gt;0),$W$6*-10,15)</f>
        <v>-20</v>
      </c>
      <c r="R512" s="152"/>
      <c r="S512" s="153">
        <f t="shared" ref="S512" si="1552">R512*15</f>
        <v>0</v>
      </c>
      <c r="T512" s="152"/>
      <c r="U512" s="153">
        <f t="shared" ref="U512" si="1553">T512*-15</f>
        <v>0</v>
      </c>
      <c r="V512" s="154">
        <f t="shared" ref="V512" si="1554">IF(AND(R512=2),10,IF(R512=3,30,IF(R512=4,50,IF(R512=5,70,0))))</f>
        <v>0</v>
      </c>
      <c r="W512" s="155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49">
        <f>COUNTA(Spieltag!K500:AA500)</f>
        <v>0</v>
      </c>
      <c r="C513" s="165">
        <f>Spieltag!A500</f>
        <v>4</v>
      </c>
      <c r="D513" s="21" t="str">
        <f>Spieltag!B500</f>
        <v>Tim Siersleben</v>
      </c>
      <c r="E513" s="150" t="str">
        <f>Spieltag!C500</f>
        <v>Abwehr</v>
      </c>
      <c r="F513" s="151" t="s">
        <v>618</v>
      </c>
      <c r="G513" s="152"/>
      <c r="H513" s="153">
        <f t="shared" ref="H513:H519" si="1556">IF(G513="x",10,0)</f>
        <v>0</v>
      </c>
      <c r="I513" s="152"/>
      <c r="J513" s="153">
        <f t="shared" ref="J513:J519" si="1557">IF((I513="x"),-10,0)</f>
        <v>0</v>
      </c>
      <c r="K513" s="152"/>
      <c r="L513" s="153">
        <f t="shared" ref="L513:L519" si="1558">IF((K513="x"),-20,0)</f>
        <v>0</v>
      </c>
      <c r="M513" s="152"/>
      <c r="N513" s="153">
        <f t="shared" ref="N513:N519" si="1559">IF((M513="x"),-30,0)</f>
        <v>0</v>
      </c>
      <c r="O513" s="154">
        <f t="shared" si="1536"/>
        <v>0</v>
      </c>
      <c r="P513" s="154">
        <f t="shared" si="1537"/>
        <v>10</v>
      </c>
      <c r="Q513" s="154">
        <f t="shared" si="1551"/>
        <v>-20</v>
      </c>
      <c r="R513" s="152"/>
      <c r="S513" s="153">
        <f t="shared" ref="S513:S519" si="1560">R513*15</f>
        <v>0</v>
      </c>
      <c r="T513" s="152"/>
      <c r="U513" s="153">
        <f t="shared" ref="U513:U519" si="1561">T513*-15</f>
        <v>0</v>
      </c>
      <c r="V513" s="154">
        <f t="shared" ref="V513:V519" si="1562">IF(AND(R513=2),10,IF(R513=3,30,IF(R513=4,50,IF(R513=5,70,0))))</f>
        <v>0</v>
      </c>
      <c r="W513" s="155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49">
        <f>COUNTA(Spieltag!K501:AA501)</f>
        <v>0</v>
      </c>
      <c r="C514" s="165">
        <f>Spieltag!A501</f>
        <v>6</v>
      </c>
      <c r="D514" s="21" t="str">
        <f>Spieltag!B501</f>
        <v>Patrick Mainka</v>
      </c>
      <c r="E514" s="150" t="str">
        <f>Spieltag!C501</f>
        <v>Abwehr</v>
      </c>
      <c r="F514" s="151" t="s">
        <v>618</v>
      </c>
      <c r="G514" s="152"/>
      <c r="H514" s="153">
        <f t="shared" si="1556"/>
        <v>0</v>
      </c>
      <c r="I514" s="152"/>
      <c r="J514" s="153">
        <f t="shared" si="1557"/>
        <v>0</v>
      </c>
      <c r="K514" s="152"/>
      <c r="L514" s="153">
        <f t="shared" si="1558"/>
        <v>0</v>
      </c>
      <c r="M514" s="152"/>
      <c r="N514" s="153">
        <f t="shared" si="1559"/>
        <v>0</v>
      </c>
      <c r="O514" s="154">
        <f t="shared" si="1536"/>
        <v>0</v>
      </c>
      <c r="P514" s="154">
        <f t="shared" si="1537"/>
        <v>10</v>
      </c>
      <c r="Q514" s="154">
        <f t="shared" si="1551"/>
        <v>-20</v>
      </c>
      <c r="R514" s="152"/>
      <c r="S514" s="153">
        <f t="shared" si="1560"/>
        <v>0</v>
      </c>
      <c r="T514" s="152"/>
      <c r="U514" s="153">
        <f t="shared" si="1561"/>
        <v>0</v>
      </c>
      <c r="V514" s="154">
        <f t="shared" si="1562"/>
        <v>0</v>
      </c>
      <c r="W514" s="155">
        <f t="shared" si="1563"/>
        <v>0</v>
      </c>
    </row>
    <row r="515" spans="1:23" ht="10.5" hidden="1" customHeight="1" x14ac:dyDescent="0.2">
      <c r="A515" s="11"/>
      <c r="B515" s="149">
        <f>COUNTA(Spieltag!K502:AA502)</f>
        <v>0</v>
      </c>
      <c r="C515" s="165">
        <f>Spieltag!A502</f>
        <v>19</v>
      </c>
      <c r="D515" s="21" t="str">
        <f>Spieltag!B502</f>
        <v>Jonas Föhrenbach</v>
      </c>
      <c r="E515" s="150" t="str">
        <f>Spieltag!C502</f>
        <v>Abwehr</v>
      </c>
      <c r="F515" s="151" t="s">
        <v>618</v>
      </c>
      <c r="G515" s="152"/>
      <c r="H515" s="153">
        <f t="shared" si="1556"/>
        <v>0</v>
      </c>
      <c r="I515" s="152"/>
      <c r="J515" s="153">
        <f t="shared" si="1557"/>
        <v>0</v>
      </c>
      <c r="K515" s="152"/>
      <c r="L515" s="153">
        <f t="shared" si="1558"/>
        <v>0</v>
      </c>
      <c r="M515" s="152"/>
      <c r="N515" s="153">
        <f t="shared" si="1559"/>
        <v>0</v>
      </c>
      <c r="O515" s="154">
        <f t="shared" si="1536"/>
        <v>0</v>
      </c>
      <c r="P515" s="154">
        <f t="shared" si="1537"/>
        <v>10</v>
      </c>
      <c r="Q515" s="154">
        <f t="shared" si="1551"/>
        <v>-20</v>
      </c>
      <c r="R515" s="152"/>
      <c r="S515" s="153">
        <f t="shared" si="1560"/>
        <v>0</v>
      </c>
      <c r="T515" s="152"/>
      <c r="U515" s="153">
        <f t="shared" si="1561"/>
        <v>0</v>
      </c>
      <c r="V515" s="154">
        <f t="shared" si="1562"/>
        <v>0</v>
      </c>
      <c r="W515" s="155">
        <f t="shared" si="1563"/>
        <v>0</v>
      </c>
    </row>
    <row r="516" spans="1:23" ht="10.5" hidden="1" customHeight="1" x14ac:dyDescent="0.2">
      <c r="A516" s="11"/>
      <c r="B516" s="149">
        <f>COUNTA(Spieltag!K503:AA503)</f>
        <v>0</v>
      </c>
      <c r="C516" s="165">
        <f>Spieltag!A503</f>
        <v>23</v>
      </c>
      <c r="D516" s="21" t="str">
        <f>Spieltag!B503</f>
        <v>Omar Haktab Traoré</v>
      </c>
      <c r="E516" s="150" t="str">
        <f>Spieltag!C503</f>
        <v>Abwehr</v>
      </c>
      <c r="F516" s="151" t="s">
        <v>618</v>
      </c>
      <c r="G516" s="152"/>
      <c r="H516" s="153">
        <f t="shared" si="1556"/>
        <v>0</v>
      </c>
      <c r="I516" s="152"/>
      <c r="J516" s="153">
        <f t="shared" si="1557"/>
        <v>0</v>
      </c>
      <c r="K516" s="152"/>
      <c r="L516" s="153">
        <f t="shared" si="1558"/>
        <v>0</v>
      </c>
      <c r="M516" s="152"/>
      <c r="N516" s="153">
        <f t="shared" si="1559"/>
        <v>0</v>
      </c>
      <c r="O516" s="154">
        <f t="shared" si="1536"/>
        <v>0</v>
      </c>
      <c r="P516" s="154">
        <f t="shared" si="1537"/>
        <v>10</v>
      </c>
      <c r="Q516" s="154">
        <f t="shared" si="1551"/>
        <v>-20</v>
      </c>
      <c r="R516" s="152"/>
      <c r="S516" s="153">
        <f t="shared" si="1560"/>
        <v>0</v>
      </c>
      <c r="T516" s="152"/>
      <c r="U516" s="153">
        <f t="shared" si="1561"/>
        <v>0</v>
      </c>
      <c r="V516" s="154">
        <f t="shared" si="1562"/>
        <v>0</v>
      </c>
      <c r="W516" s="155">
        <f t="shared" si="1563"/>
        <v>0</v>
      </c>
    </row>
    <row r="517" spans="1:23" ht="10.5" hidden="1" customHeight="1" x14ac:dyDescent="0.2">
      <c r="A517" s="11"/>
      <c r="B517" s="149">
        <f>COUNTA(Spieltag!K504:AA504)</f>
        <v>0</v>
      </c>
      <c r="C517" s="165">
        <f>Spieltag!A504</f>
        <v>27</v>
      </c>
      <c r="D517" s="21" t="str">
        <f>Spieltag!B504</f>
        <v>Thomas Keller</v>
      </c>
      <c r="E517" s="150" t="str">
        <f>Spieltag!C504</f>
        <v>Abwehr</v>
      </c>
      <c r="F517" s="151" t="s">
        <v>618</v>
      </c>
      <c r="G517" s="152"/>
      <c r="H517" s="153">
        <f t="shared" si="1556"/>
        <v>0</v>
      </c>
      <c r="I517" s="152"/>
      <c r="J517" s="153">
        <f t="shared" si="1557"/>
        <v>0</v>
      </c>
      <c r="K517" s="152"/>
      <c r="L517" s="153">
        <f t="shared" si="1558"/>
        <v>0</v>
      </c>
      <c r="M517" s="152"/>
      <c r="N517" s="153">
        <f t="shared" si="1559"/>
        <v>0</v>
      </c>
      <c r="O517" s="154">
        <f t="shared" si="1536"/>
        <v>0</v>
      </c>
      <c r="P517" s="154">
        <f t="shared" si="1537"/>
        <v>10</v>
      </c>
      <c r="Q517" s="154">
        <f t="shared" si="1551"/>
        <v>-20</v>
      </c>
      <c r="R517" s="152"/>
      <c r="S517" s="153">
        <f t="shared" si="1560"/>
        <v>0</v>
      </c>
      <c r="T517" s="152"/>
      <c r="U517" s="153">
        <f t="shared" si="1561"/>
        <v>0</v>
      </c>
      <c r="V517" s="154">
        <f t="shared" si="1562"/>
        <v>0</v>
      </c>
      <c r="W517" s="155">
        <f t="shared" si="1563"/>
        <v>0</v>
      </c>
    </row>
    <row r="518" spans="1:23" ht="10.5" hidden="1" customHeight="1" x14ac:dyDescent="0.2">
      <c r="A518" s="11"/>
      <c r="B518" s="149">
        <f>COUNTA(Spieltag!K505:AA505)</f>
        <v>0</v>
      </c>
      <c r="C518" s="165">
        <f>Spieltag!A505</f>
        <v>29</v>
      </c>
      <c r="D518" s="21" t="str">
        <f>Spieltag!B505</f>
        <v>Seedy Jarju</v>
      </c>
      <c r="E518" s="150" t="str">
        <f>Spieltag!C505</f>
        <v>Abwehr</v>
      </c>
      <c r="F518" s="151" t="s">
        <v>618</v>
      </c>
      <c r="G518" s="152"/>
      <c r="H518" s="153">
        <f t="shared" si="1556"/>
        <v>0</v>
      </c>
      <c r="I518" s="152"/>
      <c r="J518" s="153">
        <f t="shared" si="1557"/>
        <v>0</v>
      </c>
      <c r="K518" s="152"/>
      <c r="L518" s="153">
        <f t="shared" si="1558"/>
        <v>0</v>
      </c>
      <c r="M518" s="152"/>
      <c r="N518" s="153">
        <f t="shared" si="1559"/>
        <v>0</v>
      </c>
      <c r="O518" s="154">
        <f t="shared" si="1536"/>
        <v>0</v>
      </c>
      <c r="P518" s="154">
        <f t="shared" si="1537"/>
        <v>10</v>
      </c>
      <c r="Q518" s="154">
        <f t="shared" si="1551"/>
        <v>-20</v>
      </c>
      <c r="R518" s="152"/>
      <c r="S518" s="153">
        <f t="shared" si="1560"/>
        <v>0</v>
      </c>
      <c r="T518" s="152"/>
      <c r="U518" s="153">
        <f t="shared" si="1561"/>
        <v>0</v>
      </c>
      <c r="V518" s="154">
        <f t="shared" si="1562"/>
        <v>0</v>
      </c>
      <c r="W518" s="155">
        <f t="shared" si="1563"/>
        <v>0</v>
      </c>
    </row>
    <row r="519" spans="1:23" ht="10.5" hidden="1" customHeight="1" x14ac:dyDescent="0.2">
      <c r="A519" s="11"/>
      <c r="B519" s="149">
        <f>COUNTA(Spieltag!K506:AA506)</f>
        <v>0</v>
      </c>
      <c r="C519" s="165">
        <f>Spieltag!A506</f>
        <v>30</v>
      </c>
      <c r="D519" s="21" t="str">
        <f>Spieltag!B506</f>
        <v>Norman Theuerkauf</v>
      </c>
      <c r="E519" s="150" t="str">
        <f>Spieltag!C506</f>
        <v>Abwehr</v>
      </c>
      <c r="F519" s="151" t="s">
        <v>618</v>
      </c>
      <c r="G519" s="152"/>
      <c r="H519" s="153">
        <f t="shared" si="1556"/>
        <v>0</v>
      </c>
      <c r="I519" s="152"/>
      <c r="J519" s="153">
        <f t="shared" si="1557"/>
        <v>0</v>
      </c>
      <c r="K519" s="152"/>
      <c r="L519" s="153">
        <f t="shared" si="1558"/>
        <v>0</v>
      </c>
      <c r="M519" s="152"/>
      <c r="N519" s="153">
        <f t="shared" si="1559"/>
        <v>0</v>
      </c>
      <c r="O519" s="154">
        <f t="shared" si="1536"/>
        <v>0</v>
      </c>
      <c r="P519" s="154">
        <f t="shared" si="1537"/>
        <v>10</v>
      </c>
      <c r="Q519" s="154">
        <f t="shared" si="1551"/>
        <v>-20</v>
      </c>
      <c r="R519" s="152"/>
      <c r="S519" s="153">
        <f t="shared" si="1560"/>
        <v>0</v>
      </c>
      <c r="T519" s="152"/>
      <c r="U519" s="153">
        <f t="shared" si="1561"/>
        <v>0</v>
      </c>
      <c r="V519" s="154">
        <f t="shared" si="1562"/>
        <v>0</v>
      </c>
      <c r="W519" s="155">
        <f t="shared" si="1563"/>
        <v>0</v>
      </c>
    </row>
    <row r="520" spans="1:23" ht="10.5" hidden="1" customHeight="1" x14ac:dyDescent="0.2">
      <c r="A520" s="11"/>
      <c r="B520" s="148">
        <f>COUNTA(Spieltag!K507:AA507)</f>
        <v>0</v>
      </c>
      <c r="C520" s="165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0</v>
      </c>
      <c r="P520" s="16">
        <f t="shared" ref="P520:P529" si="1569">IF(($V$6&lt;&gt;0),$V$6*10,-5)</f>
        <v>10</v>
      </c>
      <c r="Q520" s="16">
        <f t="shared" ref="Q520:Q529" si="1570">IF(($W$6&lt;&gt;0),$W$6*-10,10)</f>
        <v>-20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8">
        <f>COUNTA(Spieltag!K508:AA508)</f>
        <v>0</v>
      </c>
      <c r="C521" s="165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0</v>
      </c>
      <c r="P521" s="16">
        <f t="shared" si="1569"/>
        <v>10</v>
      </c>
      <c r="Q521" s="16">
        <f t="shared" si="1570"/>
        <v>-20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8">
        <f>COUNTA(Spieltag!K509:AA509)</f>
        <v>0</v>
      </c>
      <c r="C522" s="165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0</v>
      </c>
      <c r="P522" s="16">
        <f t="shared" si="1569"/>
        <v>10</v>
      </c>
      <c r="Q522" s="16">
        <f t="shared" si="1570"/>
        <v>-20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8">
        <f>COUNTA(Spieltag!K510:AA510)</f>
        <v>0</v>
      </c>
      <c r="C523" s="165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0</v>
      </c>
      <c r="P523" s="16">
        <f t="shared" si="1569"/>
        <v>10</v>
      </c>
      <c r="Q523" s="16">
        <f t="shared" si="1570"/>
        <v>-20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8">
        <f>COUNTA(Spieltag!K511:AA511)</f>
        <v>0</v>
      </c>
      <c r="C524" s="165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0</v>
      </c>
      <c r="P524" s="16">
        <f t="shared" si="1569"/>
        <v>10</v>
      </c>
      <c r="Q524" s="16">
        <f t="shared" si="1570"/>
        <v>-20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8">
        <f>COUNTA(Spieltag!K512:AA512)</f>
        <v>0</v>
      </c>
      <c r="C525" s="165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0</v>
      </c>
      <c r="P525" s="16">
        <f t="shared" si="1569"/>
        <v>10</v>
      </c>
      <c r="Q525" s="16">
        <f t="shared" si="1570"/>
        <v>-20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8">
        <f>COUNTA(Spieltag!K513:AA513)</f>
        <v>0</v>
      </c>
      <c r="C526" s="165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0</v>
      </c>
      <c r="P526" s="16">
        <f t="shared" si="1569"/>
        <v>10</v>
      </c>
      <c r="Q526" s="16">
        <f t="shared" si="1570"/>
        <v>-20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8">
        <f>COUNTA(Spieltag!K514:AA514)</f>
        <v>0</v>
      </c>
      <c r="C527" s="165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0</v>
      </c>
      <c r="P527" s="16">
        <f t="shared" si="1569"/>
        <v>10</v>
      </c>
      <c r="Q527" s="16">
        <f t="shared" si="1570"/>
        <v>-20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8">
        <f>COUNTA(Spieltag!K515:AA515)</f>
        <v>0</v>
      </c>
      <c r="C528" s="165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0</v>
      </c>
      <c r="P528" s="16">
        <f t="shared" si="1569"/>
        <v>10</v>
      </c>
      <c r="Q528" s="16">
        <f t="shared" si="1570"/>
        <v>-20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8">
        <f>COUNTA(Spieltag!K516:AA516)</f>
        <v>0</v>
      </c>
      <c r="C529" s="165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0</v>
      </c>
      <c r="P529" s="16">
        <f t="shared" si="1569"/>
        <v>10</v>
      </c>
      <c r="Q529" s="16">
        <f t="shared" si="1570"/>
        <v>-20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8">
        <f>COUNTA(Spieltag!K517:AA517)</f>
        <v>0</v>
      </c>
      <c r="C530" s="165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0</v>
      </c>
      <c r="P530" s="16">
        <f>IF(($V$6&lt;&gt;0),$V$6*10,-5)</f>
        <v>10</v>
      </c>
      <c r="Q530" s="16">
        <f>IF(($W$6&lt;&gt;0),$W$6*-10,5)</f>
        <v>-20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8">
        <f>COUNTA(Spieltag!K518:AA518)</f>
        <v>0</v>
      </c>
      <c r="C531" s="165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0</v>
      </c>
      <c r="P531" s="16">
        <f t="shared" ref="P531:P535" si="1596">IF(($V$6&lt;&gt;0),$V$6*10,-5)</f>
        <v>10</v>
      </c>
      <c r="Q531" s="16">
        <f t="shared" ref="Q531:Q535" si="1597">IF(($W$6&lt;&gt;0),$W$6*-10,5)</f>
        <v>-20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8">
        <f>COUNTA(Spieltag!K519:AA519)</f>
        <v>0</v>
      </c>
      <c r="C532" s="165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0</v>
      </c>
      <c r="P532" s="16">
        <f t="shared" si="1596"/>
        <v>10</v>
      </c>
      <c r="Q532" s="16">
        <f t="shared" si="1597"/>
        <v>-20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8">
        <f>COUNTA(Spieltag!K520:AA520)</f>
        <v>0</v>
      </c>
      <c r="C533" s="165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0</v>
      </c>
      <c r="P533" s="16">
        <f t="shared" si="1596"/>
        <v>10</v>
      </c>
      <c r="Q533" s="16">
        <f t="shared" si="1597"/>
        <v>-20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8">
        <f>COUNTA(Spieltag!K521:AA521)</f>
        <v>0</v>
      </c>
      <c r="C534" s="165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0</v>
      </c>
      <c r="P534" s="16">
        <f t="shared" si="1596"/>
        <v>10</v>
      </c>
      <c r="Q534" s="16">
        <f t="shared" si="1597"/>
        <v>-20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8">
        <f>COUNTA(Spieltag!K522:AA522)</f>
        <v>0</v>
      </c>
      <c r="C535" s="165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0</v>
      </c>
      <c r="P535" s="16">
        <f t="shared" si="1596"/>
        <v>10</v>
      </c>
      <c r="Q535" s="16">
        <f t="shared" si="1597"/>
        <v>-20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3" customFormat="1" ht="17.25" hidden="1" thickBot="1" x14ac:dyDescent="0.25">
      <c r="A536" s="141"/>
      <c r="B536" s="142">
        <f>SUM(B537:B567)</f>
        <v>0</v>
      </c>
      <c r="C536" s="157"/>
      <c r="D536" s="220" t="s">
        <v>405</v>
      </c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1"/>
    </row>
    <row r="537" spans="1:23" ht="10.5" hidden="1" customHeight="1" x14ac:dyDescent="0.2">
      <c r="A537" s="11"/>
      <c r="B537" s="148">
        <f>COUNTA(Spieltag!K524:AA524)</f>
        <v>0</v>
      </c>
      <c r="C537" s="165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0</v>
      </c>
      <c r="P537" s="16">
        <f t="shared" ref="P537:P559" si="1623">IF(($P$7&lt;&gt;0),$P$7*10,-5)</f>
        <v>10</v>
      </c>
      <c r="Q537" s="16">
        <f t="shared" ref="Q537:Q540" si="1624">IF(($Q$7&lt;&gt;0),$Q$7*-10,20)</f>
        <v>-20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8">
        <f>COUNTA(Spieltag!K525:AA525)</f>
        <v>0</v>
      </c>
      <c r="C538" s="165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0</v>
      </c>
      <c r="P538" s="16">
        <f t="shared" si="1623"/>
        <v>10</v>
      </c>
      <c r="Q538" s="16">
        <f t="shared" si="1624"/>
        <v>-20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8">
        <f>COUNTA(Spieltag!K526:AA526)</f>
        <v>0</v>
      </c>
      <c r="C539" s="165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0</v>
      </c>
      <c r="P539" s="16">
        <f t="shared" si="1623"/>
        <v>10</v>
      </c>
      <c r="Q539" s="16">
        <f t="shared" si="1624"/>
        <v>-20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8">
        <f>COUNTA(Spieltag!K527:AA527)</f>
        <v>0</v>
      </c>
      <c r="C540" s="165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0</v>
      </c>
      <c r="P540" s="16">
        <f t="shared" si="1623"/>
        <v>10</v>
      </c>
      <c r="Q540" s="16">
        <f t="shared" si="1624"/>
        <v>-20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8">
        <f>COUNTA(Spieltag!K528:AA528)</f>
        <v>0</v>
      </c>
      <c r="C541" s="165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0</v>
      </c>
      <c r="P541" s="16">
        <f t="shared" si="1623"/>
        <v>10</v>
      </c>
      <c r="Q541" s="16">
        <f t="shared" ref="Q541:Q549" si="1649">IF(($Q$7&lt;&gt;0),$Q$7*-10,15)</f>
        <v>-20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8">
        <f>COUNTA(Spieltag!K529:AA529)</f>
        <v>0</v>
      </c>
      <c r="C542" s="165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0</v>
      </c>
      <c r="P542" s="16">
        <f t="shared" si="1623"/>
        <v>10</v>
      </c>
      <c r="Q542" s="16">
        <f t="shared" si="1649"/>
        <v>-20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8">
        <f>COUNTA(Spieltag!K530:AA530)</f>
        <v>0</v>
      </c>
      <c r="C543" s="165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0</v>
      </c>
      <c r="P543" s="16">
        <f t="shared" si="1623"/>
        <v>10</v>
      </c>
      <c r="Q543" s="16">
        <f t="shared" si="1649"/>
        <v>-20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8">
        <f>COUNTA(Spieltag!K531:AA531)</f>
        <v>0</v>
      </c>
      <c r="C544" s="165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0</v>
      </c>
      <c r="P544" s="16">
        <f t="shared" si="1623"/>
        <v>10</v>
      </c>
      <c r="Q544" s="16">
        <f t="shared" si="1649"/>
        <v>-20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8">
        <f>COUNTA(Spieltag!K532:AA532)</f>
        <v>0</v>
      </c>
      <c r="C545" s="165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0</v>
      </c>
      <c r="P545" s="16">
        <f t="shared" si="1623"/>
        <v>10</v>
      </c>
      <c r="Q545" s="16">
        <f t="shared" si="1649"/>
        <v>-20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8">
        <f>COUNTA(Spieltag!K533:AA533)</f>
        <v>0</v>
      </c>
      <c r="C546" s="165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0</v>
      </c>
      <c r="P546" s="16">
        <f t="shared" si="1623"/>
        <v>10</v>
      </c>
      <c r="Q546" s="16">
        <f t="shared" si="1649"/>
        <v>-20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8">
        <f>COUNTA(Spieltag!K534:AA534)</f>
        <v>0</v>
      </c>
      <c r="C547" s="165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0</v>
      </c>
      <c r="P547" s="16">
        <f t="shared" si="1623"/>
        <v>10</v>
      </c>
      <c r="Q547" s="16">
        <f t="shared" si="1649"/>
        <v>-20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8">
        <f>COUNTA(Spieltag!K535:AA535)</f>
        <v>0</v>
      </c>
      <c r="C548" s="165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0</v>
      </c>
      <c r="P548" s="16">
        <f t="shared" si="1623"/>
        <v>10</v>
      </c>
      <c r="Q548" s="16">
        <f t="shared" si="1649"/>
        <v>-20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8">
        <f>COUNTA(Spieltag!K536:AA536)</f>
        <v>0</v>
      </c>
      <c r="C549" s="165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0</v>
      </c>
      <c r="P549" s="16">
        <f t="shared" si="1623"/>
        <v>10</v>
      </c>
      <c r="Q549" s="16">
        <f t="shared" si="1649"/>
        <v>-20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8">
        <f>COUNTA(Spieltag!K537:AA537)</f>
        <v>0</v>
      </c>
      <c r="C550" s="165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0</v>
      </c>
      <c r="P550" s="16">
        <f t="shared" si="1623"/>
        <v>10</v>
      </c>
      <c r="Q550" s="16">
        <f t="shared" ref="Q550:Q559" si="1666">IF(($Q$7&lt;&gt;0),$Q$7*-10,10)</f>
        <v>-20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8">
        <f>COUNTA(Spieltag!K538:AA538)</f>
        <v>0</v>
      </c>
      <c r="C551" s="165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0</v>
      </c>
      <c r="P551" s="16">
        <f t="shared" si="1623"/>
        <v>10</v>
      </c>
      <c r="Q551" s="16">
        <f t="shared" si="1666"/>
        <v>-20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8">
        <f>COUNTA(Spieltag!K539:AA539)</f>
        <v>0</v>
      </c>
      <c r="C552" s="165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0</v>
      </c>
      <c r="P552" s="16">
        <f t="shared" si="1623"/>
        <v>10</v>
      </c>
      <c r="Q552" s="16">
        <f t="shared" si="1666"/>
        <v>-20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8">
        <f>COUNTA(Spieltag!K540:AA540)</f>
        <v>0</v>
      </c>
      <c r="C553" s="165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0</v>
      </c>
      <c r="P553" s="16">
        <f t="shared" si="1623"/>
        <v>10</v>
      </c>
      <c r="Q553" s="16">
        <f t="shared" si="1666"/>
        <v>-20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8">
        <f>COUNTA(Spieltag!K541:AA541)</f>
        <v>0</v>
      </c>
      <c r="C554" s="165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0</v>
      </c>
      <c r="P554" s="16">
        <f t="shared" si="1623"/>
        <v>10</v>
      </c>
      <c r="Q554" s="16">
        <f t="shared" si="1666"/>
        <v>-20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8">
        <f>COUNTA(Spieltag!K542:AA542)</f>
        <v>0</v>
      </c>
      <c r="C555" s="165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0</v>
      </c>
      <c r="P555" s="16">
        <f t="shared" si="1623"/>
        <v>10</v>
      </c>
      <c r="Q555" s="16">
        <f t="shared" si="1666"/>
        <v>-20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8">
        <f>COUNTA(Spieltag!K543:AA543)</f>
        <v>0</v>
      </c>
      <c r="C556" s="165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0</v>
      </c>
      <c r="P556" s="16">
        <f t="shared" si="1623"/>
        <v>10</v>
      </c>
      <c r="Q556" s="16">
        <f t="shared" si="1666"/>
        <v>-20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8">
        <f>COUNTA(Spieltag!K544:AA544)</f>
        <v>0</v>
      </c>
      <c r="C557" s="165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0</v>
      </c>
      <c r="P557" s="16">
        <f t="shared" si="1623"/>
        <v>10</v>
      </c>
      <c r="Q557" s="16">
        <f t="shared" si="1666"/>
        <v>-20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8">
        <f>COUNTA(Spieltag!K545:AA545)</f>
        <v>0</v>
      </c>
      <c r="C558" s="165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0</v>
      </c>
      <c r="P558" s="16">
        <f t="shared" si="1623"/>
        <v>10</v>
      </c>
      <c r="Q558" s="16">
        <f t="shared" si="1666"/>
        <v>-20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8">
        <f>COUNTA(Spieltag!K546:AA546)</f>
        <v>0</v>
      </c>
      <c r="C559" s="165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0</v>
      </c>
      <c r="P559" s="16">
        <f t="shared" si="1623"/>
        <v>10</v>
      </c>
      <c r="Q559" s="16">
        <f t="shared" si="1666"/>
        <v>-20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8">
        <f>COUNTA(Spieltag!K547:AA547)</f>
        <v>0</v>
      </c>
      <c r="C560" s="165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0</v>
      </c>
      <c r="P560" s="16">
        <f t="shared" ref="P560:P567" si="1700">IF(($P$7&lt;&gt;0),$P$7*10,-5)</f>
        <v>10</v>
      </c>
      <c r="Q560" s="16">
        <f t="shared" ref="Q560:Q567" si="1701">IF(($Q$7&lt;&gt;0),$Q$7*-10,5)</f>
        <v>-20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8">
        <f>COUNTA(Spieltag!K548:AA548)</f>
        <v>0</v>
      </c>
      <c r="C561" s="165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0</v>
      </c>
      <c r="P561" s="16">
        <f t="shared" si="1700"/>
        <v>10</v>
      </c>
      <c r="Q561" s="16">
        <f t="shared" si="1701"/>
        <v>-20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8">
        <f>COUNTA(Spieltag!K549:AA549)</f>
        <v>0</v>
      </c>
      <c r="C562" s="165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0</v>
      </c>
      <c r="P562" s="16">
        <f t="shared" si="1700"/>
        <v>10</v>
      </c>
      <c r="Q562" s="16">
        <f t="shared" si="1701"/>
        <v>-20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8">
        <f>COUNTA(Spieltag!K550:AA550)</f>
        <v>0</v>
      </c>
      <c r="C563" s="165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0</v>
      </c>
      <c r="P563" s="16">
        <f t="shared" si="1700"/>
        <v>10</v>
      </c>
      <c r="Q563" s="16">
        <f t="shared" si="1701"/>
        <v>-20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8">
        <f>COUNTA(Spieltag!K551:AA551)</f>
        <v>0</v>
      </c>
      <c r="C564" s="165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0</v>
      </c>
      <c r="P564" s="16">
        <f t="shared" si="1700"/>
        <v>10</v>
      </c>
      <c r="Q564" s="16">
        <f t="shared" si="1701"/>
        <v>-20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8">
        <f>COUNTA(Spieltag!K552:AA552)</f>
        <v>0</v>
      </c>
      <c r="C565" s="165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0</v>
      </c>
      <c r="P565" s="16">
        <f t="shared" si="1700"/>
        <v>10</v>
      </c>
      <c r="Q565" s="16">
        <f t="shared" si="1701"/>
        <v>-20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8">
        <f>COUNTA(Spieltag!K553:AA553)</f>
        <v>0</v>
      </c>
      <c r="C566" s="165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0</v>
      </c>
      <c r="P566" s="16">
        <f t="shared" si="1700"/>
        <v>10</v>
      </c>
      <c r="Q566" s="16">
        <f t="shared" si="1701"/>
        <v>-20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8">
        <f>COUNTA(Spieltag!K554:AA554)</f>
        <v>0</v>
      </c>
      <c r="C567" s="165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0</v>
      </c>
      <c r="P567" s="16">
        <f t="shared" si="1700"/>
        <v>10</v>
      </c>
      <c r="Q567" s="16">
        <f t="shared" si="1701"/>
        <v>-20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6" customFormat="1" ht="10.5" hidden="1" customHeight="1" x14ac:dyDescent="0.2">
      <c r="A709" s="144"/>
      <c r="B709" s="144"/>
      <c r="C709" s="144"/>
      <c r="D709" s="145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</row>
    <row r="710" spans="1:22" s="146" customFormat="1" ht="10.5" hidden="1" customHeight="1" x14ac:dyDescent="0.2">
      <c r="A710" s="144"/>
      <c r="B710" s="144"/>
      <c r="C710" s="144"/>
      <c r="D710" s="145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</row>
    <row r="711" spans="1:22" s="146" customFormat="1" ht="10.5" hidden="1" customHeight="1" x14ac:dyDescent="0.2">
      <c r="A711" s="144"/>
      <c r="B711" s="144"/>
      <c r="C711" s="144"/>
      <c r="D711" s="145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</row>
    <row r="712" spans="1:22" s="146" customFormat="1" ht="10.5" hidden="1" customHeight="1" x14ac:dyDescent="0.2">
      <c r="A712" s="144"/>
      <c r="B712" s="144"/>
      <c r="C712" s="144"/>
      <c r="D712" s="145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</row>
    <row r="713" spans="1:22" s="146" customFormat="1" ht="10.5" hidden="1" customHeight="1" x14ac:dyDescent="0.2">
      <c r="A713" s="144"/>
      <c r="B713" s="144"/>
      <c r="C713" s="144"/>
      <c r="D713" s="145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</row>
    <row r="714" spans="1:22" s="146" customFormat="1" ht="10.5" hidden="1" customHeight="1" x14ac:dyDescent="0.2">
      <c r="A714" s="144"/>
      <c r="B714" s="144"/>
      <c r="C714" s="144"/>
      <c r="D714" s="145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</row>
    <row r="715" spans="1:22" s="146" customFormat="1" ht="10.5" hidden="1" customHeight="1" x14ac:dyDescent="0.2">
      <c r="A715" s="144"/>
      <c r="B715" s="144"/>
      <c r="C715" s="144"/>
      <c r="D715" s="145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</row>
    <row r="716" spans="1:22" s="146" customFormat="1" ht="10.5" hidden="1" customHeight="1" x14ac:dyDescent="0.2">
      <c r="A716" s="144"/>
      <c r="B716" s="144"/>
      <c r="C716" s="144"/>
      <c r="D716" s="145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</row>
    <row r="717" spans="1:22" s="146" customFormat="1" ht="10.5" hidden="1" customHeight="1" x14ac:dyDescent="0.2">
      <c r="A717" s="144"/>
      <c r="B717" s="144"/>
      <c r="C717" s="144"/>
      <c r="D717" s="145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</row>
    <row r="718" spans="1:22" s="146" customFormat="1" ht="10.5" hidden="1" customHeight="1" x14ac:dyDescent="0.2">
      <c r="A718" s="144"/>
      <c r="B718" s="144"/>
      <c r="C718" s="144"/>
      <c r="D718" s="145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</row>
    <row r="719" spans="1:22" s="146" customFormat="1" ht="10.5" hidden="1" customHeight="1" x14ac:dyDescent="0.2">
      <c r="A719" s="144"/>
      <c r="B719" s="144"/>
      <c r="C719" s="144"/>
      <c r="D719" s="145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</row>
    <row r="720" spans="1:22" s="146" customFormat="1" ht="10.5" hidden="1" customHeight="1" x14ac:dyDescent="0.2">
      <c r="A720" s="144"/>
      <c r="B720" s="144"/>
      <c r="C720" s="144"/>
      <c r="D720" s="145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</row>
    <row r="721" spans="1:22" s="146" customFormat="1" ht="10.5" hidden="1" customHeight="1" x14ac:dyDescent="0.2">
      <c r="A721" s="144"/>
      <c r="B721" s="144"/>
      <c r="C721" s="144"/>
      <c r="D721" s="145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</row>
    <row r="722" spans="1:22" s="146" customFormat="1" ht="10.5" hidden="1" customHeight="1" x14ac:dyDescent="0.2">
      <c r="A722" s="144"/>
      <c r="B722" s="144"/>
      <c r="C722" s="144"/>
      <c r="D722" s="145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</row>
    <row r="723" spans="1:22" s="146" customFormat="1" ht="10.5" hidden="1" customHeight="1" x14ac:dyDescent="0.2">
      <c r="A723" s="144"/>
      <c r="B723" s="144"/>
      <c r="C723" s="144"/>
      <c r="D723" s="145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</row>
    <row r="724" spans="1:22" s="146" customFormat="1" ht="10.5" hidden="1" customHeight="1" x14ac:dyDescent="0.2">
      <c r="A724" s="144"/>
      <c r="B724" s="144"/>
      <c r="C724" s="144"/>
      <c r="D724" s="145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</row>
    <row r="725" spans="1:22" s="146" customFormat="1" ht="10.5" hidden="1" customHeight="1" x14ac:dyDescent="0.2">
      <c r="A725" s="144"/>
      <c r="B725" s="144"/>
      <c r="C725" s="144"/>
      <c r="D725" s="145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</row>
    <row r="726" spans="1:22" s="146" customFormat="1" ht="10.5" hidden="1" customHeight="1" x14ac:dyDescent="0.2">
      <c r="A726" s="144"/>
      <c r="B726" s="144"/>
      <c r="C726" s="144"/>
      <c r="D726" s="145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</row>
    <row r="727" spans="1:22" s="146" customFormat="1" ht="10.5" hidden="1" customHeight="1" x14ac:dyDescent="0.2">
      <c r="A727" s="144"/>
      <c r="B727" s="144"/>
      <c r="C727" s="144"/>
      <c r="D727" s="145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</row>
    <row r="728" spans="1:22" s="146" customFormat="1" ht="10.5" hidden="1" customHeight="1" x14ac:dyDescent="0.2">
      <c r="A728" s="144"/>
      <c r="B728" s="144"/>
      <c r="C728" s="144"/>
      <c r="D728" s="145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</row>
    <row r="729" spans="1:22" s="146" customFormat="1" ht="10.5" hidden="1" customHeight="1" x14ac:dyDescent="0.2">
      <c r="A729" s="144"/>
      <c r="B729" s="144"/>
      <c r="C729" s="144"/>
      <c r="D729" s="145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</row>
    <row r="730" spans="1:22" s="146" customFormat="1" ht="10.5" hidden="1" customHeight="1" x14ac:dyDescent="0.2">
      <c r="A730" s="144"/>
      <c r="B730" s="144"/>
      <c r="C730" s="144"/>
      <c r="D730" s="145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</row>
    <row r="731" spans="1:22" s="146" customFormat="1" ht="10.5" hidden="1" customHeight="1" x14ac:dyDescent="0.2">
      <c r="A731" s="144"/>
      <c r="B731" s="144"/>
      <c r="C731" s="144"/>
      <c r="D731" s="145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</row>
    <row r="732" spans="1:22" s="146" customFormat="1" ht="10.5" hidden="1" customHeight="1" x14ac:dyDescent="0.2">
      <c r="A732" s="144"/>
      <c r="B732" s="144"/>
      <c r="C732" s="144"/>
      <c r="D732" s="145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</row>
    <row r="733" spans="1:22" s="146" customFormat="1" ht="10.5" hidden="1" customHeight="1" x14ac:dyDescent="0.2">
      <c r="A733" s="144"/>
      <c r="B733" s="144"/>
      <c r="C733" s="144"/>
      <c r="D733" s="145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</row>
    <row r="734" spans="1:22" s="146" customFormat="1" ht="10.5" hidden="1" customHeight="1" x14ac:dyDescent="0.2">
      <c r="A734" s="144"/>
      <c r="B734" s="144"/>
      <c r="C734" s="144"/>
      <c r="D734" s="145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</row>
    <row r="735" spans="1:22" s="146" customFormat="1" ht="10.5" hidden="1" customHeight="1" x14ac:dyDescent="0.2">
      <c r="A735" s="144"/>
      <c r="B735" s="144"/>
      <c r="C735" s="144"/>
      <c r="D735" s="145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</row>
    <row r="736" spans="1:22" s="146" customFormat="1" ht="10.5" hidden="1" customHeight="1" x14ac:dyDescent="0.2">
      <c r="A736" s="144"/>
      <c r="B736" s="144"/>
      <c r="C736" s="144"/>
      <c r="D736" s="145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</row>
    <row r="737" spans="1:22" s="146" customFormat="1" ht="10.5" hidden="1" customHeight="1" x14ac:dyDescent="0.2">
      <c r="A737" s="144"/>
      <c r="B737" s="144"/>
      <c r="C737" s="144"/>
      <c r="D737" s="145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</row>
    <row r="738" spans="1:22" s="146" customFormat="1" ht="10.5" hidden="1" customHeight="1" x14ac:dyDescent="0.2">
      <c r="A738" s="144"/>
      <c r="B738" s="144"/>
      <c r="C738" s="144"/>
      <c r="D738" s="145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</row>
    <row r="739" spans="1:22" s="146" customFormat="1" ht="10.5" hidden="1" customHeight="1" x14ac:dyDescent="0.2">
      <c r="A739" s="144"/>
      <c r="B739" s="144"/>
      <c r="C739" s="144"/>
      <c r="D739" s="145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</row>
    <row r="740" spans="1:22" s="146" customFormat="1" ht="10.5" hidden="1" customHeight="1" x14ac:dyDescent="0.2">
      <c r="A740" s="144"/>
      <c r="B740" s="144"/>
      <c r="C740" s="144"/>
      <c r="D740" s="145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</row>
    <row r="741" spans="1:22" s="146" customFormat="1" ht="10.5" hidden="1" customHeight="1" x14ac:dyDescent="0.2">
      <c r="A741" s="144"/>
      <c r="B741" s="144"/>
      <c r="C741" s="144"/>
      <c r="D741" s="145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</row>
    <row r="742" spans="1:22" s="146" customFormat="1" ht="10.5" hidden="1" customHeight="1" x14ac:dyDescent="0.2">
      <c r="A742" s="144"/>
      <c r="B742" s="144"/>
      <c r="C742" s="144"/>
      <c r="D742" s="145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</row>
    <row r="743" spans="1:22" s="146" customFormat="1" ht="10.5" hidden="1" customHeight="1" x14ac:dyDescent="0.2">
      <c r="A743" s="144"/>
      <c r="B743" s="144"/>
      <c r="C743" s="144"/>
      <c r="D743" s="145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</row>
    <row r="744" spans="1:22" s="146" customFormat="1" ht="10.5" hidden="1" customHeight="1" x14ac:dyDescent="0.2">
      <c r="A744" s="144"/>
      <c r="B744" s="144"/>
      <c r="C744" s="144"/>
      <c r="D744" s="145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</row>
    <row r="745" spans="1:22" s="146" customFormat="1" ht="10.5" hidden="1" customHeight="1" x14ac:dyDescent="0.2">
      <c r="A745" s="144"/>
      <c r="B745" s="144"/>
      <c r="C745" s="144"/>
      <c r="D745" s="145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</row>
    <row r="746" spans="1:22" s="146" customFormat="1" ht="10.5" hidden="1" customHeight="1" x14ac:dyDescent="0.2">
      <c r="A746" s="144"/>
      <c r="B746" s="144"/>
      <c r="C746" s="144"/>
      <c r="D746" s="145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</row>
    <row r="747" spans="1:22" s="146" customFormat="1" ht="10.5" hidden="1" customHeight="1" x14ac:dyDescent="0.2">
      <c r="A747" s="144"/>
      <c r="B747" s="144"/>
      <c r="C747" s="144"/>
      <c r="D747" s="145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</row>
    <row r="748" spans="1:22" s="146" customFormat="1" ht="10.5" hidden="1" customHeight="1" x14ac:dyDescent="0.2">
      <c r="A748" s="144"/>
      <c r="B748" s="144"/>
      <c r="C748" s="144"/>
      <c r="D748" s="145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</row>
    <row r="749" spans="1:22" s="146" customFormat="1" ht="10.5" hidden="1" customHeight="1" x14ac:dyDescent="0.2">
      <c r="A749" s="144"/>
      <c r="B749" s="144"/>
      <c r="C749" s="144"/>
      <c r="D749" s="145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</row>
    <row r="750" spans="1:22" s="146" customFormat="1" ht="10.5" hidden="1" customHeight="1" x14ac:dyDescent="0.2">
      <c r="A750" s="144"/>
      <c r="B750" s="144"/>
      <c r="C750" s="144"/>
      <c r="D750" s="145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</row>
    <row r="751" spans="1:22" s="146" customFormat="1" ht="10.5" hidden="1" customHeight="1" x14ac:dyDescent="0.2">
      <c r="A751" s="144"/>
      <c r="B751" s="144"/>
      <c r="C751" s="144"/>
      <c r="D751" s="145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</row>
    <row r="752" spans="1:22" s="146" customFormat="1" ht="10.5" hidden="1" customHeight="1" x14ac:dyDescent="0.2">
      <c r="A752" s="144"/>
      <c r="B752" s="144"/>
      <c r="C752" s="144"/>
      <c r="D752" s="145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</row>
    <row r="753" spans="1:22" s="146" customFormat="1" ht="10.5" hidden="1" customHeight="1" x14ac:dyDescent="0.2">
      <c r="A753" s="144"/>
      <c r="B753" s="144"/>
      <c r="C753" s="144"/>
      <c r="D753" s="145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</row>
    <row r="754" spans="1:22" s="146" customFormat="1" ht="10.5" hidden="1" customHeight="1" x14ac:dyDescent="0.2">
      <c r="A754" s="144"/>
      <c r="B754" s="144"/>
      <c r="C754" s="144"/>
      <c r="D754" s="145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</row>
    <row r="755" spans="1:22" s="146" customFormat="1" ht="10.5" hidden="1" customHeight="1" x14ac:dyDescent="0.2">
      <c r="A755" s="144"/>
      <c r="B755" s="144"/>
      <c r="C755" s="144"/>
      <c r="D755" s="145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</row>
    <row r="756" spans="1:22" s="146" customFormat="1" ht="10.5" hidden="1" customHeight="1" x14ac:dyDescent="0.2">
      <c r="A756" s="144"/>
      <c r="B756" s="144"/>
      <c r="C756" s="144"/>
      <c r="D756" s="145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</row>
    <row r="757" spans="1:22" s="146" customFormat="1" ht="10.5" hidden="1" customHeight="1" x14ac:dyDescent="0.2">
      <c r="A757" s="144"/>
      <c r="B757" s="144"/>
      <c r="C757" s="144"/>
      <c r="D757" s="145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</row>
    <row r="758" spans="1:22" s="146" customFormat="1" ht="10.5" hidden="1" customHeight="1" x14ac:dyDescent="0.2">
      <c r="A758" s="144"/>
      <c r="B758" s="144"/>
      <c r="C758" s="144"/>
      <c r="D758" s="145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</row>
    <row r="759" spans="1:22" s="146" customFormat="1" ht="10.5" hidden="1" customHeight="1" x14ac:dyDescent="0.2">
      <c r="A759" s="144"/>
      <c r="B759" s="144"/>
      <c r="C759" s="144"/>
      <c r="D759" s="145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</row>
    <row r="760" spans="1:22" s="146" customFormat="1" ht="10.5" hidden="1" customHeight="1" x14ac:dyDescent="0.2">
      <c r="A760" s="144"/>
      <c r="B760" s="144"/>
      <c r="C760" s="144"/>
      <c r="D760" s="145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</row>
    <row r="761" spans="1:22" s="146" customFormat="1" ht="10.5" hidden="1" customHeight="1" x14ac:dyDescent="0.2">
      <c r="A761" s="144"/>
      <c r="B761" s="144"/>
      <c r="C761" s="144"/>
      <c r="D761" s="145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</row>
    <row r="762" spans="1:22" s="146" customFormat="1" ht="10.5" hidden="1" customHeight="1" x14ac:dyDescent="0.2">
      <c r="A762" s="144"/>
      <c r="B762" s="144"/>
      <c r="C762" s="144"/>
      <c r="D762" s="145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</row>
    <row r="763" spans="1:22" s="146" customFormat="1" ht="10.5" hidden="1" customHeight="1" x14ac:dyDescent="0.2">
      <c r="A763" s="144"/>
      <c r="B763" s="144"/>
      <c r="C763" s="144"/>
      <c r="D763" s="145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</row>
    <row r="764" spans="1:22" s="146" customFormat="1" ht="10.5" hidden="1" customHeight="1" x14ac:dyDescent="0.2">
      <c r="A764" s="144"/>
      <c r="B764" s="144"/>
      <c r="C764" s="144"/>
      <c r="D764" s="145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</row>
    <row r="765" spans="1:22" s="146" customFormat="1" ht="10.5" hidden="1" customHeight="1" x14ac:dyDescent="0.2">
      <c r="A765" s="144"/>
      <c r="B765" s="144"/>
      <c r="C765" s="144"/>
      <c r="D765" s="145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</row>
    <row r="766" spans="1:22" s="146" customFormat="1" ht="10.5" hidden="1" customHeight="1" x14ac:dyDescent="0.2">
      <c r="A766" s="144"/>
      <c r="B766" s="144"/>
      <c r="C766" s="144"/>
      <c r="D766" s="145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</row>
    <row r="767" spans="1:22" s="146" customFormat="1" ht="10.5" hidden="1" customHeight="1" x14ac:dyDescent="0.2">
      <c r="A767" s="144"/>
      <c r="B767" s="144"/>
      <c r="C767" s="144"/>
      <c r="D767" s="145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</row>
    <row r="768" spans="1:22" s="146" customFormat="1" ht="10.5" hidden="1" customHeight="1" x14ac:dyDescent="0.2">
      <c r="A768" s="144"/>
      <c r="B768" s="144"/>
      <c r="C768" s="144"/>
      <c r="D768" s="145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</row>
    <row r="769" spans="1:22" s="146" customFormat="1" ht="10.5" hidden="1" customHeight="1" x14ac:dyDescent="0.2">
      <c r="A769" s="144"/>
      <c r="B769" s="144"/>
      <c r="C769" s="144"/>
      <c r="D769" s="145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</row>
    <row r="770" spans="1:22" s="146" customFormat="1" ht="10.5" hidden="1" customHeight="1" x14ac:dyDescent="0.2">
      <c r="A770" s="144"/>
      <c r="B770" s="144"/>
      <c r="C770" s="144"/>
      <c r="D770" s="145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</row>
    <row r="771" spans="1:22" s="146" customFormat="1" ht="10.5" hidden="1" customHeight="1" x14ac:dyDescent="0.2">
      <c r="A771" s="144"/>
      <c r="B771" s="144"/>
      <c r="C771" s="144"/>
      <c r="D771" s="145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</row>
    <row r="772" spans="1:22" s="146" customFormat="1" ht="10.5" hidden="1" customHeight="1" x14ac:dyDescent="0.2">
      <c r="A772" s="144"/>
      <c r="B772" s="144"/>
      <c r="C772" s="144"/>
      <c r="D772" s="145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</row>
    <row r="773" spans="1:22" s="146" customFormat="1" ht="10.5" hidden="1" customHeight="1" x14ac:dyDescent="0.2">
      <c r="A773" s="144"/>
      <c r="B773" s="144"/>
      <c r="C773" s="144"/>
      <c r="D773" s="145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</row>
    <row r="774" spans="1:22" s="146" customFormat="1" ht="10.5" hidden="1" customHeight="1" x14ac:dyDescent="0.2">
      <c r="A774" s="144"/>
      <c r="B774" s="144"/>
      <c r="C774" s="144"/>
      <c r="D774" s="145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</row>
    <row r="775" spans="1:22" s="146" customFormat="1" ht="10.5" hidden="1" customHeight="1" x14ac:dyDescent="0.2">
      <c r="A775" s="144"/>
      <c r="B775" s="144"/>
      <c r="C775" s="144"/>
      <c r="D775" s="145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</row>
    <row r="776" spans="1:22" s="146" customFormat="1" ht="10.5" hidden="1" customHeight="1" x14ac:dyDescent="0.2">
      <c r="A776" s="144"/>
      <c r="B776" s="144"/>
      <c r="C776" s="144"/>
      <c r="D776" s="145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</row>
    <row r="777" spans="1:22" s="146" customFormat="1" ht="10.5" hidden="1" customHeight="1" x14ac:dyDescent="0.2">
      <c r="A777" s="144"/>
      <c r="B777" s="144"/>
      <c r="C777" s="144"/>
      <c r="D777" s="145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</row>
    <row r="778" spans="1:22" s="146" customFormat="1" ht="10.5" hidden="1" customHeight="1" x14ac:dyDescent="0.2">
      <c r="A778" s="144"/>
      <c r="B778" s="144"/>
      <c r="C778" s="144"/>
      <c r="D778" s="145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</row>
    <row r="779" spans="1:22" s="146" customFormat="1" ht="10.5" hidden="1" customHeight="1" x14ac:dyDescent="0.2">
      <c r="A779" s="144"/>
      <c r="B779" s="144"/>
      <c r="C779" s="144"/>
      <c r="D779" s="145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</row>
    <row r="780" spans="1:22" s="146" customFormat="1" ht="10.5" hidden="1" customHeight="1" x14ac:dyDescent="0.2">
      <c r="A780" s="144"/>
      <c r="B780" s="144"/>
      <c r="C780" s="144"/>
      <c r="D780" s="145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</row>
    <row r="781" spans="1:22" s="146" customFormat="1" ht="10.5" hidden="1" customHeight="1" x14ac:dyDescent="0.2">
      <c r="A781" s="144"/>
      <c r="B781" s="144"/>
      <c r="C781" s="144"/>
      <c r="D781" s="145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</row>
    <row r="782" spans="1:22" s="146" customFormat="1" ht="10.5" hidden="1" customHeight="1" x14ac:dyDescent="0.2">
      <c r="A782" s="144"/>
      <c r="B782" s="144"/>
      <c r="C782" s="144"/>
      <c r="D782" s="145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</row>
    <row r="783" spans="1:22" s="146" customFormat="1" ht="10.5" hidden="1" customHeight="1" x14ac:dyDescent="0.2">
      <c r="A783" s="144"/>
      <c r="B783" s="144"/>
      <c r="C783" s="144"/>
      <c r="D783" s="145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</row>
    <row r="784" spans="1:22" s="146" customFormat="1" ht="10.5" hidden="1" customHeight="1" x14ac:dyDescent="0.2">
      <c r="A784" s="144"/>
      <c r="B784" s="144"/>
      <c r="C784" s="144"/>
      <c r="D784" s="145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</row>
    <row r="785" spans="1:22" s="146" customFormat="1" ht="10.5" hidden="1" customHeight="1" x14ac:dyDescent="0.2">
      <c r="A785" s="144"/>
      <c r="B785" s="144"/>
      <c r="C785" s="144"/>
      <c r="D785" s="145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</row>
    <row r="786" spans="1:22" s="146" customFormat="1" ht="10.5" hidden="1" customHeight="1" x14ac:dyDescent="0.2">
      <c r="A786" s="144"/>
      <c r="B786" s="144"/>
      <c r="C786" s="144"/>
      <c r="D786" s="145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</row>
    <row r="787" spans="1:22" s="146" customFormat="1" ht="10.5" hidden="1" customHeight="1" x14ac:dyDescent="0.2">
      <c r="A787" s="144"/>
      <c r="B787" s="144"/>
      <c r="C787" s="144"/>
      <c r="D787" s="145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</row>
    <row r="788" spans="1:22" s="146" customFormat="1" ht="10.5" hidden="1" customHeight="1" x14ac:dyDescent="0.2">
      <c r="A788" s="144"/>
      <c r="B788" s="144"/>
      <c r="C788" s="144"/>
      <c r="D788" s="145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</row>
    <row r="789" spans="1:22" s="146" customFormat="1" ht="10.5" hidden="1" customHeight="1" x14ac:dyDescent="0.2">
      <c r="A789" s="144"/>
      <c r="B789" s="144"/>
      <c r="C789" s="144"/>
      <c r="D789" s="145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</row>
    <row r="790" spans="1:22" s="146" customFormat="1" ht="10.5" hidden="1" customHeight="1" x14ac:dyDescent="0.2">
      <c r="A790" s="144"/>
      <c r="B790" s="144"/>
      <c r="C790" s="144"/>
      <c r="D790" s="145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</row>
    <row r="791" spans="1:22" s="146" customFormat="1" ht="10.5" hidden="1" customHeight="1" x14ac:dyDescent="0.2">
      <c r="A791" s="144"/>
      <c r="B791" s="144"/>
      <c r="C791" s="144"/>
      <c r="D791" s="145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</row>
    <row r="792" spans="1:22" s="146" customFormat="1" ht="10.5" hidden="1" customHeight="1" x14ac:dyDescent="0.2">
      <c r="A792" s="144"/>
      <c r="B792" s="144"/>
      <c r="C792" s="144"/>
      <c r="D792" s="145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</row>
    <row r="793" spans="1:22" s="146" customFormat="1" ht="10.5" hidden="1" customHeight="1" x14ac:dyDescent="0.2">
      <c r="A793" s="144"/>
      <c r="B793" s="144"/>
      <c r="C793" s="144"/>
      <c r="D793" s="145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</row>
    <row r="794" spans="1:22" s="146" customFormat="1" ht="10.5" hidden="1" customHeight="1" x14ac:dyDescent="0.2">
      <c r="A794" s="144"/>
      <c r="B794" s="144"/>
      <c r="C794" s="144"/>
      <c r="D794" s="145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</row>
    <row r="795" spans="1:22" s="146" customFormat="1" ht="10.5" hidden="1" customHeight="1" x14ac:dyDescent="0.2">
      <c r="A795" s="144"/>
      <c r="B795" s="144"/>
      <c r="C795" s="144"/>
      <c r="D795" s="145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</row>
    <row r="796" spans="1:22" s="146" customFormat="1" ht="10.5" hidden="1" customHeight="1" x14ac:dyDescent="0.2">
      <c r="A796" s="144"/>
      <c r="B796" s="144"/>
      <c r="C796" s="144"/>
      <c r="D796" s="145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</row>
    <row r="797" spans="1:22" s="146" customFormat="1" ht="10.5" hidden="1" customHeight="1" x14ac:dyDescent="0.2">
      <c r="A797" s="144"/>
      <c r="B797" s="144"/>
      <c r="C797" s="144"/>
      <c r="D797" s="145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</row>
    <row r="798" spans="1:22" s="146" customFormat="1" ht="10.5" hidden="1" customHeight="1" x14ac:dyDescent="0.2">
      <c r="A798" s="144"/>
      <c r="B798" s="144"/>
      <c r="C798" s="144"/>
      <c r="D798" s="145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</row>
    <row r="799" spans="1:22" s="146" customFormat="1" ht="10.5" hidden="1" customHeight="1" x14ac:dyDescent="0.2">
      <c r="A799" s="144"/>
      <c r="B799" s="144"/>
      <c r="C799" s="144"/>
      <c r="D799" s="145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</row>
    <row r="800" spans="1:22" s="146" customFormat="1" ht="10.5" hidden="1" customHeight="1" x14ac:dyDescent="0.2">
      <c r="A800" s="144"/>
      <c r="B800" s="144"/>
      <c r="C800" s="144"/>
      <c r="D800" s="145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</row>
    <row r="801" spans="1:22" s="146" customFormat="1" ht="10.5" hidden="1" customHeight="1" x14ac:dyDescent="0.2">
      <c r="A801" s="144"/>
      <c r="B801" s="144"/>
      <c r="C801" s="144"/>
      <c r="D801" s="145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</row>
    <row r="802" spans="1:22" s="146" customFormat="1" ht="10.5" hidden="1" customHeight="1" x14ac:dyDescent="0.2">
      <c r="A802" s="144"/>
      <c r="B802" s="144"/>
      <c r="C802" s="144"/>
      <c r="D802" s="145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</row>
    <row r="803" spans="1:22" s="146" customFormat="1" ht="10.5" hidden="1" customHeight="1" x14ac:dyDescent="0.2">
      <c r="A803" s="144"/>
      <c r="B803" s="144"/>
      <c r="C803" s="144"/>
      <c r="D803" s="145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</row>
    <row r="804" spans="1:22" s="146" customFormat="1" ht="10.5" hidden="1" customHeight="1" x14ac:dyDescent="0.2">
      <c r="A804" s="144"/>
      <c r="B804" s="144"/>
      <c r="C804" s="144"/>
      <c r="D804" s="145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</row>
    <row r="805" spans="1:22" s="146" customFormat="1" ht="10.5" hidden="1" customHeight="1" x14ac:dyDescent="0.2">
      <c r="A805" s="144"/>
      <c r="B805" s="144"/>
      <c r="C805" s="144"/>
      <c r="D805" s="145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</row>
    <row r="806" spans="1:22" s="146" customFormat="1" ht="10.5" hidden="1" customHeight="1" x14ac:dyDescent="0.2">
      <c r="A806" s="144"/>
      <c r="B806" s="144"/>
      <c r="C806" s="144"/>
      <c r="D806" s="145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</row>
    <row r="807" spans="1:22" s="146" customFormat="1" ht="10.5" hidden="1" customHeight="1" x14ac:dyDescent="0.2">
      <c r="A807" s="144"/>
      <c r="B807" s="144"/>
      <c r="C807" s="144"/>
      <c r="D807" s="145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</row>
    <row r="808" spans="1:22" s="146" customFormat="1" ht="10.5" hidden="1" customHeight="1" x14ac:dyDescent="0.2">
      <c r="A808" s="144"/>
      <c r="B808" s="144"/>
      <c r="C808" s="144"/>
      <c r="D808" s="145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</row>
    <row r="809" spans="1:22" s="146" customFormat="1" ht="10.5" hidden="1" customHeight="1" x14ac:dyDescent="0.2">
      <c r="A809" s="144"/>
      <c r="B809" s="144"/>
      <c r="C809" s="144"/>
      <c r="D809" s="145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</row>
    <row r="810" spans="1:22" s="146" customFormat="1" ht="10.5" hidden="1" customHeight="1" x14ac:dyDescent="0.2">
      <c r="A810" s="144"/>
      <c r="B810" s="144"/>
      <c r="C810" s="144"/>
      <c r="D810" s="145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</row>
    <row r="811" spans="1:22" s="146" customFormat="1" ht="10.5" hidden="1" customHeight="1" x14ac:dyDescent="0.2">
      <c r="A811" s="144"/>
      <c r="B811" s="144"/>
      <c r="C811" s="144"/>
      <c r="D811" s="145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</row>
    <row r="812" spans="1:22" s="146" customFormat="1" ht="10.5" hidden="1" customHeight="1" x14ac:dyDescent="0.2">
      <c r="A812" s="144"/>
      <c r="B812" s="144"/>
      <c r="C812" s="144"/>
      <c r="D812" s="145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</row>
    <row r="813" spans="1:22" s="146" customFormat="1" ht="10.5" hidden="1" customHeight="1" x14ac:dyDescent="0.2">
      <c r="A813" s="144"/>
      <c r="B813" s="144"/>
      <c r="C813" s="144"/>
      <c r="D813" s="145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</row>
    <row r="814" spans="1:22" s="146" customFormat="1" ht="10.5" hidden="1" customHeight="1" x14ac:dyDescent="0.2">
      <c r="A814" s="144"/>
      <c r="B814" s="144"/>
      <c r="C814" s="144"/>
      <c r="D814" s="145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</row>
    <row r="815" spans="1:22" s="146" customFormat="1" ht="10.5" hidden="1" customHeight="1" x14ac:dyDescent="0.2">
      <c r="A815" s="144"/>
      <c r="B815" s="144"/>
      <c r="C815" s="144"/>
      <c r="D815" s="145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</row>
    <row r="816" spans="1:22" s="146" customFormat="1" ht="10.5" hidden="1" customHeight="1" x14ac:dyDescent="0.2">
      <c r="A816" s="144"/>
      <c r="B816" s="144"/>
      <c r="C816" s="144"/>
      <c r="D816" s="145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</row>
    <row r="817" spans="1:22" s="146" customFormat="1" ht="10.5" hidden="1" customHeight="1" x14ac:dyDescent="0.2">
      <c r="A817" s="144"/>
      <c r="B817" s="144"/>
      <c r="C817" s="144"/>
      <c r="D817" s="145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</row>
    <row r="818" spans="1:22" s="146" customFormat="1" ht="10.5" hidden="1" customHeight="1" x14ac:dyDescent="0.2">
      <c r="A818" s="144"/>
      <c r="B818" s="144"/>
      <c r="C818" s="144"/>
      <c r="D818" s="145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</row>
    <row r="819" spans="1:22" s="146" customFormat="1" ht="10.5" hidden="1" customHeight="1" x14ac:dyDescent="0.2">
      <c r="A819" s="144"/>
      <c r="B819" s="144"/>
      <c r="C819" s="144"/>
      <c r="D819" s="145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</row>
    <row r="820" spans="1:22" s="146" customFormat="1" ht="10.5" hidden="1" customHeight="1" x14ac:dyDescent="0.2">
      <c r="A820" s="144"/>
      <c r="B820" s="144"/>
      <c r="C820" s="144"/>
      <c r="D820" s="145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</row>
    <row r="821" spans="1:22" s="146" customFormat="1" ht="10.5" hidden="1" customHeight="1" x14ac:dyDescent="0.2">
      <c r="A821" s="144"/>
      <c r="B821" s="144"/>
      <c r="C821" s="144"/>
      <c r="D821" s="145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</row>
    <row r="822" spans="1:22" s="146" customFormat="1" ht="10.5" hidden="1" customHeight="1" x14ac:dyDescent="0.2">
      <c r="A822" s="144"/>
      <c r="B822" s="144"/>
      <c r="C822" s="144"/>
      <c r="D822" s="145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</row>
    <row r="823" spans="1:22" s="146" customFormat="1" ht="10.5" hidden="1" customHeight="1" x14ac:dyDescent="0.2">
      <c r="A823" s="144"/>
      <c r="B823" s="144"/>
      <c r="C823" s="144"/>
      <c r="D823" s="145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</row>
    <row r="824" spans="1:22" s="146" customFormat="1" ht="10.5" hidden="1" customHeight="1" x14ac:dyDescent="0.2">
      <c r="A824" s="144"/>
      <c r="B824" s="144"/>
      <c r="C824" s="144"/>
      <c r="D824" s="145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</row>
    <row r="825" spans="1:22" s="146" customFormat="1" ht="10.5" hidden="1" customHeight="1" x14ac:dyDescent="0.2">
      <c r="A825" s="144"/>
      <c r="B825" s="144"/>
      <c r="C825" s="144"/>
      <c r="D825" s="145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</row>
    <row r="826" spans="1:22" s="146" customFormat="1" ht="10.5" hidden="1" customHeight="1" x14ac:dyDescent="0.2">
      <c r="A826" s="144"/>
      <c r="B826" s="144"/>
      <c r="C826" s="144"/>
      <c r="D826" s="145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</row>
    <row r="827" spans="1:22" s="146" customFormat="1" ht="10.5" hidden="1" customHeight="1" x14ac:dyDescent="0.2">
      <c r="A827" s="144"/>
      <c r="B827" s="144"/>
      <c r="C827" s="144"/>
      <c r="D827" s="145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</row>
    <row r="828" spans="1:22" s="146" customFormat="1" ht="10.5" hidden="1" customHeight="1" x14ac:dyDescent="0.2">
      <c r="A828" s="144"/>
      <c r="B828" s="144"/>
      <c r="C828" s="144"/>
      <c r="D828" s="145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</row>
    <row r="829" spans="1:22" s="146" customFormat="1" ht="10.5" hidden="1" customHeight="1" x14ac:dyDescent="0.2">
      <c r="A829" s="144"/>
      <c r="B829" s="144"/>
      <c r="C829" s="144"/>
      <c r="D829" s="145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</row>
    <row r="830" spans="1:22" s="146" customFormat="1" ht="10.5" hidden="1" customHeight="1" x14ac:dyDescent="0.2">
      <c r="A830" s="144"/>
      <c r="B830" s="144"/>
      <c r="C830" s="144"/>
      <c r="D830" s="145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</row>
    <row r="831" spans="1:22" s="146" customFormat="1" ht="10.5" hidden="1" customHeight="1" x14ac:dyDescent="0.2">
      <c r="A831" s="144"/>
      <c r="B831" s="144"/>
      <c r="C831" s="144"/>
      <c r="D831" s="145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</row>
    <row r="832" spans="1:22" s="146" customFormat="1" ht="10.5" hidden="1" customHeight="1" x14ac:dyDescent="0.2">
      <c r="A832" s="144"/>
      <c r="B832" s="144"/>
      <c r="C832" s="144"/>
      <c r="D832" s="145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</row>
    <row r="833" spans="1:22" s="146" customFormat="1" ht="10.5" hidden="1" customHeight="1" x14ac:dyDescent="0.2">
      <c r="A833" s="144"/>
      <c r="B833" s="144"/>
      <c r="C833" s="144"/>
      <c r="D833" s="145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</row>
    <row r="834" spans="1:22" s="146" customFormat="1" ht="10.5" hidden="1" customHeight="1" x14ac:dyDescent="0.2">
      <c r="A834" s="144"/>
      <c r="B834" s="144"/>
      <c r="C834" s="144"/>
      <c r="D834" s="145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</row>
    <row r="835" spans="1:22" s="146" customFormat="1" ht="10.5" hidden="1" customHeight="1" x14ac:dyDescent="0.2">
      <c r="A835" s="144"/>
      <c r="B835" s="144"/>
      <c r="C835" s="144"/>
      <c r="D835" s="145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</row>
    <row r="836" spans="1:22" s="146" customFormat="1" ht="10.5" hidden="1" customHeight="1" x14ac:dyDescent="0.2">
      <c r="A836" s="144"/>
      <c r="B836" s="144"/>
      <c r="C836" s="144"/>
      <c r="D836" s="145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</row>
    <row r="837" spans="1:22" s="146" customFormat="1" ht="10.5" hidden="1" customHeight="1" x14ac:dyDescent="0.2">
      <c r="A837" s="144"/>
      <c r="B837" s="144"/>
      <c r="C837" s="144"/>
      <c r="D837" s="145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</row>
    <row r="838" spans="1:22" s="146" customFormat="1" ht="10.5" hidden="1" customHeight="1" x14ac:dyDescent="0.2">
      <c r="A838" s="144"/>
      <c r="B838" s="144"/>
      <c r="C838" s="144"/>
      <c r="D838" s="145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</row>
    <row r="839" spans="1:22" s="146" customFormat="1" ht="10.5" hidden="1" customHeight="1" x14ac:dyDescent="0.2">
      <c r="A839" s="144"/>
      <c r="B839" s="144"/>
      <c r="C839" s="144"/>
      <c r="D839" s="145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</row>
    <row r="840" spans="1:22" s="146" customFormat="1" ht="10.5" hidden="1" customHeight="1" x14ac:dyDescent="0.2">
      <c r="A840" s="144"/>
      <c r="B840" s="144"/>
      <c r="C840" s="144"/>
      <c r="D840" s="145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</row>
    <row r="841" spans="1:22" s="146" customFormat="1" ht="10.5" hidden="1" customHeight="1" x14ac:dyDescent="0.2">
      <c r="A841" s="144"/>
      <c r="B841" s="144"/>
      <c r="C841" s="144"/>
      <c r="D841" s="145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</row>
    <row r="842" spans="1:22" s="146" customFormat="1" ht="10.5" hidden="1" customHeight="1" x14ac:dyDescent="0.2">
      <c r="A842" s="144"/>
      <c r="B842" s="144"/>
      <c r="C842" s="144"/>
      <c r="D842" s="145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</row>
    <row r="843" spans="1:22" s="146" customFormat="1" ht="10.5" hidden="1" customHeight="1" x14ac:dyDescent="0.2">
      <c r="A843" s="144"/>
      <c r="B843" s="144"/>
      <c r="C843" s="144"/>
      <c r="D843" s="145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</row>
    <row r="844" spans="1:22" s="146" customFormat="1" ht="10.5" hidden="1" customHeight="1" x14ac:dyDescent="0.2">
      <c r="A844" s="144"/>
      <c r="B844" s="144"/>
      <c r="C844" s="144"/>
      <c r="D844" s="145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</row>
    <row r="845" spans="1:22" s="146" customFormat="1" ht="10.5" hidden="1" customHeight="1" x14ac:dyDescent="0.2">
      <c r="A845" s="144"/>
      <c r="B845" s="144"/>
      <c r="C845" s="144"/>
      <c r="D845" s="145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</row>
    <row r="846" spans="1:22" s="146" customFormat="1" ht="10.5" hidden="1" customHeight="1" x14ac:dyDescent="0.2">
      <c r="A846" s="144"/>
      <c r="B846" s="144"/>
      <c r="C846" s="144"/>
      <c r="D846" s="145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</row>
    <row r="847" spans="1:22" s="146" customFormat="1" ht="10.5" hidden="1" customHeight="1" x14ac:dyDescent="0.2">
      <c r="A847" s="144"/>
      <c r="B847" s="144"/>
      <c r="C847" s="144"/>
      <c r="D847" s="145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</row>
    <row r="848" spans="1:22" s="146" customFormat="1" ht="10.5" hidden="1" customHeight="1" x14ac:dyDescent="0.2">
      <c r="A848" s="144"/>
      <c r="B848" s="144"/>
      <c r="C848" s="144"/>
      <c r="D848" s="145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</row>
    <row r="849" spans="1:22" s="146" customFormat="1" ht="10.5" hidden="1" customHeight="1" x14ac:dyDescent="0.2">
      <c r="A849" s="144"/>
      <c r="B849" s="144"/>
      <c r="C849" s="144"/>
      <c r="D849" s="145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</row>
    <row r="850" spans="1:22" s="146" customFormat="1" ht="10.5" hidden="1" customHeight="1" x14ac:dyDescent="0.2">
      <c r="A850" s="144"/>
      <c r="B850" s="144"/>
      <c r="C850" s="144"/>
      <c r="D850" s="145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</row>
    <row r="851" spans="1:22" s="146" customFormat="1" ht="10.5" hidden="1" customHeight="1" x14ac:dyDescent="0.2">
      <c r="A851" s="144"/>
      <c r="B851" s="144"/>
      <c r="C851" s="144"/>
      <c r="D851" s="145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</row>
    <row r="852" spans="1:22" s="146" customFormat="1" ht="10.5" hidden="1" customHeight="1" x14ac:dyDescent="0.2">
      <c r="A852" s="144"/>
      <c r="B852" s="144"/>
      <c r="C852" s="144"/>
      <c r="D852" s="145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</row>
    <row r="853" spans="1:22" s="146" customFormat="1" ht="10.5" hidden="1" customHeight="1" x14ac:dyDescent="0.2">
      <c r="A853" s="144"/>
      <c r="B853" s="144"/>
      <c r="C853" s="144"/>
      <c r="D853" s="145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</row>
    <row r="854" spans="1:22" s="146" customFormat="1" ht="10.5" hidden="1" customHeight="1" x14ac:dyDescent="0.2">
      <c r="A854" s="144"/>
      <c r="B854" s="144"/>
      <c r="C854" s="144"/>
      <c r="D854" s="145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</row>
    <row r="855" spans="1:22" s="146" customFormat="1" ht="10.5" hidden="1" customHeight="1" x14ac:dyDescent="0.2">
      <c r="A855" s="144"/>
      <c r="B855" s="144"/>
      <c r="C855" s="144"/>
      <c r="D855" s="145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</row>
    <row r="856" spans="1:22" s="146" customFormat="1" ht="10.5" hidden="1" customHeight="1" x14ac:dyDescent="0.2">
      <c r="A856" s="144"/>
      <c r="B856" s="144"/>
      <c r="C856" s="144"/>
      <c r="D856" s="145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</row>
    <row r="857" spans="1:22" s="146" customFormat="1" ht="10.5" hidden="1" customHeight="1" x14ac:dyDescent="0.2">
      <c r="A857" s="144"/>
      <c r="B857" s="144"/>
      <c r="C857" s="144"/>
      <c r="D857" s="145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</row>
    <row r="858" spans="1:22" s="146" customFormat="1" ht="10.5" hidden="1" customHeight="1" x14ac:dyDescent="0.2">
      <c r="A858" s="144"/>
      <c r="B858" s="144"/>
      <c r="C858" s="144"/>
      <c r="D858" s="145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</row>
    <row r="859" spans="1:22" s="146" customFormat="1" ht="10.5" hidden="1" customHeight="1" x14ac:dyDescent="0.2">
      <c r="A859" s="144"/>
      <c r="B859" s="144"/>
      <c r="C859" s="144"/>
      <c r="D859" s="145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</row>
    <row r="860" spans="1:22" s="146" customFormat="1" ht="10.5" hidden="1" customHeight="1" x14ac:dyDescent="0.2">
      <c r="A860" s="144"/>
      <c r="B860" s="144"/>
      <c r="C860" s="144"/>
      <c r="D860" s="145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</row>
    <row r="861" spans="1:22" s="146" customFormat="1" ht="10.5" hidden="1" customHeight="1" x14ac:dyDescent="0.2">
      <c r="A861" s="144"/>
      <c r="B861" s="144"/>
      <c r="C861" s="144"/>
      <c r="D861" s="145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</row>
    <row r="862" spans="1:22" s="146" customFormat="1" ht="10.5" hidden="1" customHeight="1" x14ac:dyDescent="0.2">
      <c r="A862" s="144"/>
      <c r="B862" s="144"/>
      <c r="C862" s="144"/>
      <c r="D862" s="145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</row>
    <row r="863" spans="1:22" s="146" customFormat="1" ht="10.5" hidden="1" customHeight="1" x14ac:dyDescent="0.2">
      <c r="A863" s="144"/>
      <c r="B863" s="144"/>
      <c r="C863" s="144"/>
      <c r="D863" s="145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</row>
    <row r="864" spans="1:22" s="146" customFormat="1" ht="10.5" hidden="1" customHeight="1" x14ac:dyDescent="0.2">
      <c r="A864" s="144"/>
      <c r="B864" s="144"/>
      <c r="C864" s="144"/>
      <c r="D864" s="145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</row>
    <row r="865" spans="1:22" s="146" customFormat="1" ht="10.5" hidden="1" customHeight="1" x14ac:dyDescent="0.2">
      <c r="A865" s="144"/>
      <c r="B865" s="144"/>
      <c r="C865" s="144"/>
      <c r="D865" s="145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</row>
    <row r="866" spans="1:22" s="146" customFormat="1" ht="10.5" hidden="1" customHeight="1" x14ac:dyDescent="0.2">
      <c r="A866" s="144"/>
      <c r="B866" s="144"/>
      <c r="C866" s="144"/>
      <c r="D866" s="145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</row>
    <row r="867" spans="1:22" s="146" customFormat="1" ht="10.5" hidden="1" customHeight="1" x14ac:dyDescent="0.2">
      <c r="A867" s="144"/>
      <c r="B867" s="144"/>
      <c r="C867" s="144"/>
      <c r="D867" s="145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</row>
    <row r="868" spans="1:22" s="146" customFormat="1" ht="10.5" hidden="1" customHeight="1" x14ac:dyDescent="0.2">
      <c r="A868" s="144"/>
      <c r="B868" s="144"/>
      <c r="C868" s="144"/>
      <c r="D868" s="145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</row>
    <row r="869" spans="1:22" s="146" customFormat="1" ht="10.5" hidden="1" customHeight="1" x14ac:dyDescent="0.2">
      <c r="A869" s="144"/>
      <c r="B869" s="144"/>
      <c r="C869" s="144"/>
      <c r="D869" s="145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</row>
    <row r="870" spans="1:22" s="146" customFormat="1" ht="10.5" hidden="1" customHeight="1" x14ac:dyDescent="0.2">
      <c r="A870" s="144"/>
      <c r="B870" s="144"/>
      <c r="C870" s="144"/>
      <c r="D870" s="145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</row>
    <row r="871" spans="1:22" s="146" customFormat="1" ht="10.5" hidden="1" customHeight="1" x14ac:dyDescent="0.2">
      <c r="A871" s="144"/>
      <c r="B871" s="144"/>
      <c r="C871" s="144"/>
      <c r="D871" s="145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</row>
    <row r="872" spans="1:22" s="146" customFormat="1" ht="10.5" hidden="1" customHeight="1" x14ac:dyDescent="0.2">
      <c r="A872" s="144"/>
      <c r="B872" s="144"/>
      <c r="C872" s="144"/>
      <c r="D872" s="145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</row>
    <row r="873" spans="1:22" s="146" customFormat="1" ht="10.5" hidden="1" customHeight="1" x14ac:dyDescent="0.2">
      <c r="A873" s="144"/>
      <c r="B873" s="144"/>
      <c r="C873" s="144"/>
      <c r="D873" s="145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</row>
    <row r="874" spans="1:22" s="146" customFormat="1" ht="10.5" hidden="1" customHeight="1" x14ac:dyDescent="0.2">
      <c r="A874" s="144"/>
      <c r="B874" s="144"/>
      <c r="C874" s="144"/>
      <c r="D874" s="145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</row>
    <row r="875" spans="1:22" s="146" customFormat="1" ht="10.5" hidden="1" customHeight="1" x14ac:dyDescent="0.2">
      <c r="A875" s="144"/>
      <c r="B875" s="144"/>
      <c r="C875" s="144"/>
      <c r="D875" s="145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</row>
    <row r="876" spans="1:22" s="146" customFormat="1" ht="10.5" hidden="1" customHeight="1" x14ac:dyDescent="0.2">
      <c r="A876" s="144"/>
      <c r="B876" s="144"/>
      <c r="C876" s="144"/>
      <c r="D876" s="145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</row>
    <row r="877" spans="1:22" s="146" customFormat="1" ht="10.5" hidden="1" customHeight="1" x14ac:dyDescent="0.2">
      <c r="A877" s="144"/>
      <c r="B877" s="144"/>
      <c r="C877" s="144"/>
      <c r="D877" s="145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</row>
    <row r="878" spans="1:22" s="146" customFormat="1" ht="10.5" hidden="1" customHeight="1" x14ac:dyDescent="0.2">
      <c r="A878" s="144"/>
      <c r="B878" s="144"/>
      <c r="C878" s="144"/>
      <c r="D878" s="145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</row>
    <row r="879" spans="1:22" s="146" customFormat="1" ht="10.5" hidden="1" customHeight="1" x14ac:dyDescent="0.2">
      <c r="A879" s="144"/>
      <c r="B879" s="144"/>
      <c r="C879" s="144"/>
      <c r="D879" s="145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</row>
    <row r="880" spans="1:22" s="146" customFormat="1" ht="10.5" hidden="1" customHeight="1" x14ac:dyDescent="0.2">
      <c r="A880" s="144"/>
      <c r="B880" s="144"/>
      <c r="C880" s="144"/>
      <c r="D880" s="145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</row>
    <row r="881" spans="1:22" s="146" customFormat="1" ht="10.5" hidden="1" customHeight="1" x14ac:dyDescent="0.2">
      <c r="A881" s="144"/>
      <c r="B881" s="144"/>
      <c r="C881" s="144"/>
      <c r="D881" s="145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</row>
    <row r="882" spans="1:22" s="146" customFormat="1" ht="10.5" hidden="1" customHeight="1" x14ac:dyDescent="0.2">
      <c r="A882" s="144"/>
      <c r="B882" s="144"/>
      <c r="C882" s="144"/>
      <c r="D882" s="145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</row>
    <row r="883" spans="1:22" s="146" customFormat="1" ht="10.5" hidden="1" customHeight="1" x14ac:dyDescent="0.2">
      <c r="A883" s="144"/>
      <c r="B883" s="144"/>
      <c r="C883" s="144"/>
      <c r="D883" s="145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</row>
    <row r="884" spans="1:22" s="146" customFormat="1" ht="10.5" hidden="1" customHeight="1" x14ac:dyDescent="0.2">
      <c r="A884" s="144"/>
      <c r="B884" s="144"/>
      <c r="C884" s="144"/>
      <c r="D884" s="145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</row>
    <row r="885" spans="1:22" s="146" customFormat="1" ht="10.5" hidden="1" customHeight="1" x14ac:dyDescent="0.2">
      <c r="A885" s="144"/>
      <c r="B885" s="144"/>
      <c r="C885" s="144"/>
      <c r="D885" s="145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</row>
    <row r="886" spans="1:22" s="146" customFormat="1" ht="10.5" hidden="1" customHeight="1" x14ac:dyDescent="0.2">
      <c r="A886" s="144"/>
      <c r="B886" s="144"/>
      <c r="C886" s="144"/>
      <c r="D886" s="145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</row>
    <row r="887" spans="1:22" s="146" customFormat="1" ht="10.5" hidden="1" customHeight="1" x14ac:dyDescent="0.2">
      <c r="A887" s="144"/>
      <c r="B887" s="144"/>
      <c r="C887" s="144"/>
      <c r="D887" s="145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</row>
    <row r="888" spans="1:22" s="146" customFormat="1" ht="10.5" hidden="1" customHeight="1" x14ac:dyDescent="0.2">
      <c r="A888" s="144"/>
      <c r="B888" s="144"/>
      <c r="C888" s="144"/>
      <c r="D888" s="145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</row>
    <row r="889" spans="1:22" s="146" customFormat="1" ht="10.5" hidden="1" customHeight="1" x14ac:dyDescent="0.2">
      <c r="A889" s="144"/>
      <c r="B889" s="144"/>
      <c r="C889" s="144"/>
      <c r="D889" s="145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</row>
    <row r="890" spans="1:22" s="146" customFormat="1" ht="10.5" hidden="1" customHeight="1" x14ac:dyDescent="0.2">
      <c r="A890" s="144"/>
      <c r="B890" s="144"/>
      <c r="C890" s="144"/>
      <c r="D890" s="145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</row>
    <row r="891" spans="1:22" s="146" customFormat="1" ht="10.5" hidden="1" customHeight="1" x14ac:dyDescent="0.2">
      <c r="A891" s="144"/>
      <c r="B891" s="144"/>
      <c r="C891" s="144"/>
      <c r="D891" s="145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</row>
    <row r="892" spans="1:22" s="146" customFormat="1" ht="10.5" hidden="1" customHeight="1" x14ac:dyDescent="0.2">
      <c r="A892" s="144"/>
      <c r="B892" s="144"/>
      <c r="C892" s="144"/>
      <c r="D892" s="145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</row>
    <row r="893" spans="1:22" s="146" customFormat="1" ht="10.5" hidden="1" customHeight="1" x14ac:dyDescent="0.2">
      <c r="A893" s="144"/>
      <c r="B893" s="144"/>
      <c r="C893" s="144"/>
      <c r="D893" s="145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</row>
    <row r="894" spans="1:22" s="146" customFormat="1" ht="10.5" hidden="1" customHeight="1" x14ac:dyDescent="0.2">
      <c r="A894" s="144"/>
      <c r="B894" s="144"/>
      <c r="C894" s="144"/>
      <c r="D894" s="145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</row>
    <row r="895" spans="1:22" s="146" customFormat="1" ht="10.5" hidden="1" customHeight="1" x14ac:dyDescent="0.2">
      <c r="A895" s="144"/>
      <c r="B895" s="144"/>
      <c r="C895" s="144"/>
      <c r="D895" s="145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</row>
    <row r="896" spans="1:22" s="146" customFormat="1" ht="10.5" hidden="1" customHeight="1" x14ac:dyDescent="0.2">
      <c r="A896" s="144"/>
      <c r="B896" s="144"/>
      <c r="C896" s="144"/>
      <c r="D896" s="145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</row>
    <row r="897" spans="1:22" s="146" customFormat="1" ht="10.5" hidden="1" customHeight="1" x14ac:dyDescent="0.2">
      <c r="A897" s="144"/>
      <c r="B897" s="144"/>
      <c r="C897" s="144"/>
      <c r="D897" s="145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</row>
    <row r="898" spans="1:22" s="146" customFormat="1" ht="10.5" hidden="1" customHeight="1" x14ac:dyDescent="0.2">
      <c r="A898" s="144"/>
      <c r="B898" s="144"/>
      <c r="C898" s="144"/>
      <c r="D898" s="145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</row>
    <row r="899" spans="1:22" s="146" customFormat="1" ht="10.5" hidden="1" customHeight="1" x14ac:dyDescent="0.2">
      <c r="A899" s="144"/>
      <c r="B899" s="144"/>
      <c r="C899" s="144"/>
      <c r="D899" s="145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</row>
    <row r="900" spans="1:22" s="146" customFormat="1" ht="10.5" hidden="1" customHeight="1" x14ac:dyDescent="0.2">
      <c r="A900" s="144"/>
      <c r="B900" s="144"/>
      <c r="C900" s="144"/>
      <c r="D900" s="145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</row>
    <row r="901" spans="1:22" s="146" customFormat="1" ht="10.5" customHeight="1" x14ac:dyDescent="0.2">
      <c r="A901" s="144"/>
      <c r="B901" s="144"/>
      <c r="C901" s="144"/>
      <c r="D901" s="145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</row>
    <row r="902" spans="1:22" s="146" customFormat="1" ht="10.5" customHeight="1" x14ac:dyDescent="0.2">
      <c r="A902" s="144"/>
      <c r="B902" s="144"/>
      <c r="C902" s="144"/>
      <c r="D902" s="145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</row>
    <row r="903" spans="1:22" s="146" customFormat="1" ht="10.5" customHeight="1" x14ac:dyDescent="0.2">
      <c r="A903" s="144"/>
      <c r="B903" s="144"/>
      <c r="C903" s="144"/>
      <c r="D903" s="145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</row>
    <row r="904" spans="1:22" s="146" customFormat="1" ht="10.5" customHeight="1" x14ac:dyDescent="0.2">
      <c r="A904" s="144"/>
      <c r="B904" s="144"/>
      <c r="C904" s="144"/>
      <c r="D904" s="145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</row>
    <row r="905" spans="1:22" s="146" customFormat="1" ht="10.5" customHeight="1" x14ac:dyDescent="0.2">
      <c r="A905" s="144"/>
      <c r="B905" s="144"/>
      <c r="C905" s="144"/>
      <c r="D905" s="145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</row>
    <row r="906" spans="1:22" s="146" customFormat="1" ht="10.5" customHeight="1" x14ac:dyDescent="0.2">
      <c r="A906" s="144"/>
      <c r="B906" s="144"/>
      <c r="C906" s="144"/>
      <c r="D906" s="145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</row>
    <row r="907" spans="1:22" s="146" customFormat="1" ht="10.5" customHeight="1" x14ac:dyDescent="0.2">
      <c r="A907" s="144"/>
      <c r="B907" s="144"/>
      <c r="C907" s="144"/>
      <c r="D907" s="145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</row>
    <row r="908" spans="1:22" s="146" customFormat="1" ht="10.5" customHeight="1" x14ac:dyDescent="0.2">
      <c r="A908" s="144"/>
      <c r="B908" s="144"/>
      <c r="C908" s="144"/>
      <c r="D908" s="145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</row>
    <row r="909" spans="1:22" s="146" customFormat="1" ht="10.5" customHeight="1" x14ac:dyDescent="0.2">
      <c r="A909" s="144"/>
      <c r="B909" s="144"/>
      <c r="C909" s="144"/>
      <c r="D909" s="145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</row>
    <row r="910" spans="1:22" s="146" customFormat="1" ht="10.5" customHeight="1" x14ac:dyDescent="0.2">
      <c r="A910" s="144"/>
      <c r="B910" s="144"/>
      <c r="C910" s="144"/>
      <c r="D910" s="145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</row>
    <row r="911" spans="1:22" s="146" customFormat="1" ht="10.5" customHeight="1" x14ac:dyDescent="0.2">
      <c r="A911" s="144"/>
      <c r="B911" s="144"/>
      <c r="C911" s="144"/>
      <c r="D911" s="145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</row>
    <row r="912" spans="1:22" s="146" customFormat="1" ht="10.5" customHeight="1" x14ac:dyDescent="0.2">
      <c r="A912" s="144"/>
      <c r="B912" s="144"/>
      <c r="C912" s="144"/>
      <c r="D912" s="145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</row>
    <row r="913" spans="1:22" s="146" customFormat="1" ht="10.5" customHeight="1" x14ac:dyDescent="0.2">
      <c r="A913" s="144"/>
      <c r="B913" s="144"/>
      <c r="C913" s="144"/>
      <c r="D913" s="145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</row>
    <row r="914" spans="1:22" s="146" customFormat="1" ht="10.5" customHeight="1" x14ac:dyDescent="0.2">
      <c r="A914" s="144"/>
      <c r="B914" s="144"/>
      <c r="C914" s="144"/>
      <c r="D914" s="145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</row>
    <row r="915" spans="1:22" s="146" customFormat="1" ht="10.5" customHeight="1" x14ac:dyDescent="0.2">
      <c r="A915" s="144"/>
      <c r="B915" s="144"/>
      <c r="C915" s="144"/>
      <c r="D915" s="145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</row>
    <row r="916" spans="1:22" s="146" customFormat="1" ht="10.5" customHeight="1" x14ac:dyDescent="0.2">
      <c r="A916" s="144"/>
      <c r="B916" s="144"/>
      <c r="C916" s="144"/>
      <c r="D916" s="145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</row>
    <row r="917" spans="1:22" s="146" customFormat="1" ht="10.5" customHeight="1" x14ac:dyDescent="0.2">
      <c r="A917" s="144"/>
      <c r="B917" s="144"/>
      <c r="C917" s="144"/>
      <c r="D917" s="145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</row>
    <row r="918" spans="1:22" s="146" customFormat="1" ht="10.5" customHeight="1" x14ac:dyDescent="0.2">
      <c r="A918" s="144"/>
      <c r="B918" s="144"/>
      <c r="C918" s="144"/>
      <c r="D918" s="145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</row>
    <row r="919" spans="1:22" s="146" customFormat="1" ht="10.5" customHeight="1" x14ac:dyDescent="0.2">
      <c r="A919" s="144"/>
      <c r="B919" s="144"/>
      <c r="C919" s="144"/>
      <c r="D919" s="145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</row>
    <row r="920" spans="1:22" s="146" customFormat="1" ht="10.5" customHeight="1" x14ac:dyDescent="0.2">
      <c r="A920" s="144"/>
      <c r="B920" s="144"/>
      <c r="C920" s="144"/>
      <c r="D920" s="145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</row>
    <row r="921" spans="1:22" s="146" customFormat="1" ht="10.5" customHeight="1" x14ac:dyDescent="0.2">
      <c r="A921" s="144"/>
      <c r="B921" s="144"/>
      <c r="C921" s="144"/>
      <c r="D921" s="145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</row>
    <row r="922" spans="1:22" s="146" customFormat="1" ht="10.5" customHeight="1" x14ac:dyDescent="0.2">
      <c r="A922" s="144"/>
      <c r="B922" s="144"/>
      <c r="C922" s="144"/>
      <c r="D922" s="145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</row>
    <row r="923" spans="1:22" s="146" customFormat="1" ht="10.5" customHeight="1" x14ac:dyDescent="0.2">
      <c r="A923" s="144"/>
      <c r="B923" s="144"/>
      <c r="C923" s="144"/>
      <c r="D923" s="145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</row>
    <row r="924" spans="1:22" s="146" customFormat="1" ht="10.5" customHeight="1" x14ac:dyDescent="0.2">
      <c r="A924" s="144"/>
      <c r="B924" s="144"/>
      <c r="C924" s="144"/>
      <c r="D924" s="145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</row>
    <row r="925" spans="1:22" s="146" customFormat="1" ht="10.5" customHeight="1" x14ac:dyDescent="0.2">
      <c r="A925" s="144"/>
      <c r="B925" s="144"/>
      <c r="C925" s="144"/>
      <c r="D925" s="145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</row>
    <row r="926" spans="1:22" s="146" customFormat="1" ht="10.5" customHeight="1" x14ac:dyDescent="0.2">
      <c r="A926" s="144"/>
      <c r="B926" s="144"/>
      <c r="C926" s="144"/>
      <c r="D926" s="145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</row>
    <row r="927" spans="1:22" s="146" customFormat="1" ht="10.5" customHeight="1" x14ac:dyDescent="0.2">
      <c r="A927" s="144"/>
      <c r="B927" s="144"/>
      <c r="C927" s="144"/>
      <c r="D927" s="145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</row>
    <row r="928" spans="1:22" s="146" customFormat="1" ht="10.5" customHeight="1" x14ac:dyDescent="0.2">
      <c r="A928" s="144"/>
      <c r="B928" s="144"/>
      <c r="C928" s="144"/>
      <c r="D928" s="145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</row>
    <row r="929" spans="1:22" s="146" customFormat="1" ht="10.5" customHeight="1" x14ac:dyDescent="0.2">
      <c r="A929" s="144"/>
      <c r="B929" s="144"/>
      <c r="C929" s="144"/>
      <c r="D929" s="145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</row>
    <row r="930" spans="1:22" s="146" customFormat="1" ht="10.5" customHeight="1" x14ac:dyDescent="0.2">
      <c r="A930" s="144"/>
      <c r="B930" s="144"/>
      <c r="C930" s="144"/>
      <c r="D930" s="145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</row>
    <row r="931" spans="1:22" s="146" customFormat="1" ht="10.5" customHeight="1" x14ac:dyDescent="0.2">
      <c r="A931" s="144"/>
      <c r="B931" s="144"/>
      <c r="C931" s="144"/>
      <c r="D931" s="145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</row>
    <row r="932" spans="1:22" s="146" customFormat="1" ht="10.5" customHeight="1" x14ac:dyDescent="0.2">
      <c r="A932" s="144"/>
      <c r="B932" s="144"/>
      <c r="C932" s="144"/>
      <c r="D932" s="145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</row>
    <row r="933" spans="1:22" s="146" customFormat="1" ht="10.5" customHeight="1" x14ac:dyDescent="0.2">
      <c r="A933" s="144"/>
      <c r="B933" s="144"/>
      <c r="C933" s="144"/>
      <c r="D933" s="145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</row>
    <row r="934" spans="1:22" s="146" customFormat="1" ht="10.5" customHeight="1" x14ac:dyDescent="0.2">
      <c r="A934" s="144"/>
      <c r="B934" s="144"/>
      <c r="C934" s="144"/>
      <c r="D934" s="145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</row>
    <row r="935" spans="1:22" s="146" customFormat="1" ht="10.5" customHeight="1" x14ac:dyDescent="0.2">
      <c r="A935" s="144"/>
      <c r="B935" s="144"/>
      <c r="C935" s="144"/>
      <c r="D935" s="145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</row>
    <row r="936" spans="1:22" s="146" customFormat="1" ht="10.5" customHeight="1" x14ac:dyDescent="0.2">
      <c r="A936" s="144"/>
      <c r="B936" s="144"/>
      <c r="C936" s="144"/>
      <c r="D936" s="145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</row>
    <row r="937" spans="1:22" s="146" customFormat="1" ht="10.5" customHeight="1" x14ac:dyDescent="0.2">
      <c r="A937" s="144"/>
      <c r="B937" s="144"/>
      <c r="C937" s="144"/>
      <c r="D937" s="145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</row>
    <row r="938" spans="1:22" s="146" customFormat="1" ht="10.5" customHeight="1" x14ac:dyDescent="0.2">
      <c r="A938" s="144"/>
      <c r="B938" s="144"/>
      <c r="C938" s="144"/>
      <c r="D938" s="145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</row>
    <row r="939" spans="1:22" s="146" customFormat="1" ht="10.5" customHeight="1" x14ac:dyDescent="0.2">
      <c r="A939" s="144"/>
      <c r="B939" s="144"/>
      <c r="C939" s="144"/>
      <c r="D939" s="145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</row>
    <row r="940" spans="1:22" s="146" customFormat="1" ht="10.5" customHeight="1" x14ac:dyDescent="0.2">
      <c r="A940" s="144"/>
      <c r="B940" s="144"/>
      <c r="C940" s="144"/>
      <c r="D940" s="145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</row>
    <row r="941" spans="1:22" s="146" customFormat="1" ht="10.5" customHeight="1" x14ac:dyDescent="0.2">
      <c r="A941" s="144"/>
      <c r="B941" s="144"/>
      <c r="C941" s="144"/>
      <c r="D941" s="145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</row>
    <row r="942" spans="1:22" s="146" customFormat="1" ht="10.5" customHeight="1" x14ac:dyDescent="0.2">
      <c r="A942" s="144"/>
      <c r="B942" s="144"/>
      <c r="C942" s="144"/>
      <c r="D942" s="145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</row>
    <row r="943" spans="1:22" s="146" customFormat="1" ht="10.5" customHeight="1" x14ac:dyDescent="0.2">
      <c r="A943" s="144"/>
      <c r="B943" s="144"/>
      <c r="C943" s="144"/>
      <c r="D943" s="145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</row>
    <row r="944" spans="1:22" s="146" customFormat="1" ht="10.5" customHeight="1" x14ac:dyDescent="0.2">
      <c r="A944" s="144"/>
      <c r="B944" s="144"/>
      <c r="C944" s="144"/>
      <c r="D944" s="145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</row>
    <row r="945" spans="1:22" s="146" customFormat="1" ht="10.5" customHeight="1" x14ac:dyDescent="0.2">
      <c r="A945" s="144"/>
      <c r="B945" s="144"/>
      <c r="C945" s="144"/>
      <c r="D945" s="145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</row>
    <row r="946" spans="1:22" s="146" customFormat="1" ht="10.5" customHeight="1" x14ac:dyDescent="0.2">
      <c r="A946" s="144"/>
      <c r="B946" s="144"/>
      <c r="C946" s="144"/>
      <c r="D946" s="145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</row>
    <row r="947" spans="1:22" s="146" customFormat="1" ht="10.5" customHeight="1" x14ac:dyDescent="0.2">
      <c r="A947" s="144"/>
      <c r="B947" s="144"/>
      <c r="C947" s="144"/>
      <c r="D947" s="145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</row>
    <row r="948" spans="1:22" s="146" customFormat="1" ht="10.5" customHeight="1" x14ac:dyDescent="0.2">
      <c r="A948" s="144"/>
      <c r="B948" s="144"/>
      <c r="C948" s="144"/>
      <c r="D948" s="145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</row>
    <row r="949" spans="1:22" s="146" customFormat="1" ht="10.5" customHeight="1" x14ac:dyDescent="0.2">
      <c r="A949" s="144"/>
      <c r="B949" s="144"/>
      <c r="C949" s="144"/>
      <c r="D949" s="145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</row>
    <row r="950" spans="1:22" s="146" customFormat="1" ht="10.5" customHeight="1" x14ac:dyDescent="0.2">
      <c r="A950" s="144"/>
      <c r="B950" s="144"/>
      <c r="C950" s="144"/>
      <c r="D950" s="145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</row>
    <row r="951" spans="1:22" s="146" customFormat="1" ht="10.5" customHeight="1" x14ac:dyDescent="0.2">
      <c r="A951" s="144"/>
      <c r="B951" s="144"/>
      <c r="C951" s="144"/>
      <c r="D951" s="145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</row>
    <row r="952" spans="1:22" s="146" customFormat="1" ht="10.5" customHeight="1" x14ac:dyDescent="0.2">
      <c r="A952" s="144"/>
      <c r="B952" s="144"/>
      <c r="C952" s="144"/>
      <c r="D952" s="145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</row>
    <row r="953" spans="1:22" s="146" customFormat="1" ht="10.5" customHeight="1" x14ac:dyDescent="0.2">
      <c r="A953" s="144"/>
      <c r="B953" s="144"/>
      <c r="C953" s="144"/>
      <c r="D953" s="145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83:W83"/>
    <mergeCell ref="D48:W48"/>
    <mergeCell ref="D386:W386"/>
    <mergeCell ref="D171:W171"/>
    <mergeCell ref="D474:W474"/>
    <mergeCell ref="D415:W415"/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N102"/>
  <sheetViews>
    <sheetView showGridLines="0" zoomScaleNormal="100" workbookViewId="0">
      <selection activeCell="G232" sqref="G232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5" t="s">
        <v>40</v>
      </c>
      <c r="D1" s="236"/>
      <c r="E1" s="237"/>
      <c r="F1" s="25"/>
      <c r="G1" s="235" t="s">
        <v>41</v>
      </c>
      <c r="H1" s="236"/>
      <c r="I1" s="237"/>
      <c r="J1" s="25"/>
      <c r="K1" s="235" t="s">
        <v>102</v>
      </c>
      <c r="L1" s="236"/>
      <c r="M1" s="241"/>
    </row>
    <row r="2" spans="1:13" ht="11.25" customHeight="1" thickBot="1" x14ac:dyDescent="0.25">
      <c r="B2" s="27"/>
      <c r="C2" s="238"/>
      <c r="D2" s="239"/>
      <c r="E2" s="240"/>
      <c r="F2" s="28"/>
      <c r="G2" s="238"/>
      <c r="H2" s="239"/>
      <c r="I2" s="240"/>
      <c r="J2" s="28"/>
      <c r="K2" s="238"/>
      <c r="L2" s="239"/>
      <c r="M2" s="240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30</v>
      </c>
      <c r="E3" s="32" t="s">
        <v>6</v>
      </c>
      <c r="F3" s="29"/>
      <c r="G3" s="30" t="s">
        <v>92</v>
      </c>
      <c r="H3" s="31">
        <f>'[2]Bax de Luxe'!$B$3</f>
        <v>29</v>
      </c>
      <c r="I3" s="32" t="s">
        <v>6</v>
      </c>
      <c r="J3" s="29"/>
      <c r="K3" s="30" t="s">
        <v>92</v>
      </c>
      <c r="L3" s="31">
        <f>[2]Nobody!$B$3</f>
        <v>28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Oliver Baumann</v>
      </c>
      <c r="D5" s="115" t="str">
        <f>VLOOKUP(C5,Auswertung!$D$15:$F$1466,3,0)</f>
        <v>Hoffenheim</v>
      </c>
      <c r="E5" s="116">
        <f>VLOOKUP(C5,Auswertung!$D$15:$W$1466,20,0)</f>
        <v>-5</v>
      </c>
      <c r="F5" s="39">
        <v>1</v>
      </c>
      <c r="G5" s="114" t="str">
        <f>VLOOKUP(F5,Spieltag!$L$2:$AB$1575,17,0)</f>
        <v>Oliver Baumann</v>
      </c>
      <c r="H5" s="115" t="str">
        <f>VLOOKUP(G5,Auswertung!$D$15:$F$1466,3,0)</f>
        <v>Hoffenheim</v>
      </c>
      <c r="I5" s="116">
        <f>VLOOKUP(G5,Auswertung!$D$15:$W$1466,20,0)</f>
        <v>-5</v>
      </c>
      <c r="J5" s="39">
        <v>1</v>
      </c>
      <c r="K5" s="114" t="str">
        <f>VLOOKUP(J5,Spieltag!$M$2:$AB$1575,16,0)</f>
        <v>Manuel Neuer</v>
      </c>
      <c r="L5" s="115" t="str">
        <f>VLOOKUP(K5,Auswertung!$D$15:$F$1466,3,0)</f>
        <v>München</v>
      </c>
      <c r="M5" s="116">
        <f>VLOOKUP(K5,Auswertung!$D$15:$W$1466,20,0)</f>
        <v>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20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40</v>
      </c>
      <c r="J6" s="39">
        <v>2</v>
      </c>
      <c r="K6" s="117" t="str">
        <f>VLOOKUP(J6,Spieltag!$M$2:$AB$1575,16,0)</f>
        <v>Mats Hummels</v>
      </c>
      <c r="L6" s="118" t="str">
        <f>VLOOKUP(K6,Auswertung!$D$15:$F$1466,3,0)</f>
        <v>Dortmund</v>
      </c>
      <c r="M6" s="119">
        <f>VLOOKUP(K6,Auswertung!$D$15:$W$1466,20,0)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40</v>
      </c>
      <c r="F7" s="42">
        <v>3</v>
      </c>
      <c r="G7" s="117" t="str">
        <f>VLOOKUP(F7,Spieltag!$L$2:$AB$1575,17,0)</f>
        <v>Nico Schlotterbeck</v>
      </c>
      <c r="H7" s="118" t="str">
        <f>VLOOKUP(G7,Auswertung!$D$15:$F$1466,3,0)</f>
        <v>Dortmund</v>
      </c>
      <c r="I7" s="119">
        <f>VLOOKUP(G7,Auswertung!$D$15:$W$1466,20,0)</f>
        <v>20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20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40</v>
      </c>
      <c r="F8" s="42">
        <v>4</v>
      </c>
      <c r="G8" s="117" t="str">
        <f>VLOOKUP(F8,Spieltag!$L$2:$AB$1575,17,0)</f>
        <v>David Raum</v>
      </c>
      <c r="H8" s="118" t="str">
        <f>VLOOKUP(G8,Auswertung!$D$15:$F$1466,3,0)</f>
        <v>Leipzig</v>
      </c>
      <c r="I8" s="119">
        <f>VLOOKUP(G8,Auswertung!$D$15:$W$1466,20,0)</f>
        <v>65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40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60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30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60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20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40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40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40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40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70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10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10</v>
      </c>
      <c r="J12" s="42">
        <v>8</v>
      </c>
      <c r="K12" s="120" t="str">
        <f>VLOOKUP(J12,Spieltag!$M$2:$AB$1575,16,0)</f>
        <v>Grischa Prömel</v>
      </c>
      <c r="L12" s="121" t="str">
        <f>VLOOKUP(K12,Auswertung!$D$15:$F$1466,3,0)</f>
        <v>Hoffenheim</v>
      </c>
      <c r="M12" s="122">
        <f>VLOOKUP(K12,Auswertung!$D$15:$W$1466,20,0)</f>
        <v>-5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10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10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10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65</v>
      </c>
      <c r="F14" s="42">
        <v>10</v>
      </c>
      <c r="G14" s="123" t="str">
        <f>VLOOKUP(F14,Spieltag!$L$2:$AB$1575,17,0)</f>
        <v>Benjamin Šeško (A)</v>
      </c>
      <c r="H14" s="124" t="str">
        <f>VLOOKUP(G14,Auswertung!$D$15:$F$1466,3,0)</f>
        <v>Leipzig</v>
      </c>
      <c r="I14" s="125">
        <f>VLOOKUP(G14,Auswertung!$D$15:$W$1466,20,0)</f>
        <v>55</v>
      </c>
      <c r="J14" s="42">
        <v>10</v>
      </c>
      <c r="K14" s="123" t="str">
        <f>VLOOKUP(J14,Spieltag!$M$2:$AB$1575,16,0)</f>
        <v>Deniz Undav</v>
      </c>
      <c r="L14" s="124" t="str">
        <f>VLOOKUP(K14,Auswertung!$D$15:$F$1466,3,0)</f>
        <v>Stuttgart</v>
      </c>
      <c r="M14" s="125">
        <f>VLOOKUP(K14,Auswertung!$D$15:$W$1466,20,0)</f>
        <v>40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Deniz Undav</v>
      </c>
      <c r="D15" s="124" t="str">
        <f>VLOOKUP(C15,Auswertung!$D$15:$F$1466,3,0)</f>
        <v>Stuttgart</v>
      </c>
      <c r="E15" s="125">
        <f>VLOOKUP(C15,Auswertung!$D$15:$W$1466,20,0)</f>
        <v>40</v>
      </c>
      <c r="F15" s="42">
        <v>11</v>
      </c>
      <c r="G15" s="123" t="str">
        <f>VLOOKUP(F15,Spieltag!$L$2:$AB$1575,17,0)</f>
        <v>Niclas Füllkrug</v>
      </c>
      <c r="H15" s="124" t="str">
        <f>VLOOKUP(G15,Auswertung!$D$15:$F$1466,3,0)</f>
        <v>Dortmund</v>
      </c>
      <c r="I15" s="125">
        <f>VLOOKUP(G15,Auswertung!$D$15:$W$1466,20,0)</f>
        <v>30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50</v>
      </c>
    </row>
    <row r="16" spans="1:13" ht="11.25" customHeight="1" thickBot="1" x14ac:dyDescent="0.25">
      <c r="E16" s="47">
        <f>SUM(E5:E15)</f>
        <v>340</v>
      </c>
      <c r="G16" s="207"/>
      <c r="I16" s="47">
        <f>SUM(I5:I15)</f>
        <v>335</v>
      </c>
      <c r="M16" s="47">
        <f>SUM(M5:M15)</f>
        <v>325</v>
      </c>
    </row>
    <row r="17" spans="1:13" ht="11.25" customHeight="1" x14ac:dyDescent="0.2">
      <c r="G17" s="207"/>
    </row>
    <row r="18" spans="1:13" s="23" customFormat="1" ht="11.25" customHeight="1" x14ac:dyDescent="0.2">
      <c r="B18" s="25"/>
      <c r="C18" s="235" t="s">
        <v>51</v>
      </c>
      <c r="D18" s="236"/>
      <c r="E18" s="237"/>
      <c r="G18" s="235" t="s">
        <v>52</v>
      </c>
      <c r="H18" s="236"/>
      <c r="I18" s="237"/>
      <c r="J18" s="25"/>
      <c r="K18" s="235" t="s">
        <v>53</v>
      </c>
      <c r="L18" s="236"/>
      <c r="M18" s="237"/>
    </row>
    <row r="19" spans="1:13" ht="11.25" customHeight="1" thickBot="1" x14ac:dyDescent="0.25">
      <c r="B19" s="28"/>
      <c r="C19" s="238"/>
      <c r="D19" s="239"/>
      <c r="E19" s="240"/>
      <c r="G19" s="238"/>
      <c r="H19" s="239"/>
      <c r="I19" s="240"/>
      <c r="J19" s="28"/>
      <c r="K19" s="238"/>
      <c r="L19" s="239"/>
      <c r="M19" s="240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28</v>
      </c>
      <c r="E20" s="32" t="s">
        <v>6</v>
      </c>
      <c r="F20" s="29"/>
      <c r="G20" s="30" t="s">
        <v>92</v>
      </c>
      <c r="H20" s="31">
        <f>[2]Pitti!$B$3</f>
        <v>26</v>
      </c>
      <c r="I20" s="32" t="s">
        <v>6</v>
      </c>
      <c r="J20" s="29"/>
      <c r="K20" s="30" t="s">
        <v>92</v>
      </c>
      <c r="L20" s="31">
        <f>[2]Himmelfahrtskommando!$B$3</f>
        <v>27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Manuel Neuer</v>
      </c>
      <c r="D22" s="115" t="str">
        <f>VLOOKUP(C22,Auswertung!$D$15:$F$1466,3,0)</f>
        <v>München</v>
      </c>
      <c r="E22" s="116">
        <f>VLOOKUP(C22,Auswertung!$D$15:$W$1466,20,0)</f>
        <v>0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20</v>
      </c>
      <c r="J22" s="39">
        <v>1</v>
      </c>
      <c r="K22" s="114" t="str">
        <f>VLOOKUP(J22,Spieltag!$P$2:$AB$1575,13,0)</f>
        <v>Alexander Nübel</v>
      </c>
      <c r="L22" s="115" t="str">
        <f>VLOOKUP(K22,Auswertung!$D$15:$F$1466,3,0)</f>
        <v>Stuttgart</v>
      </c>
      <c r="M22" s="116">
        <f>VLOOKUP(K22,Auswertung!$D$15:$W$1466,20,0)</f>
        <v>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20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65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65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40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20</v>
      </c>
      <c r="J24" s="42">
        <v>3</v>
      </c>
      <c r="K24" s="117" t="str">
        <f>VLOOKUP(J24,Spieltag!$P$2:$AB$1575,13,0)</f>
        <v>Nico Schlotterbeck</v>
      </c>
      <c r="L24" s="118" t="str">
        <f>VLOOKUP(K24,Auswertung!$D$15:$F$1466,3,0)</f>
        <v>Dortmund</v>
      </c>
      <c r="M24" s="119">
        <f>VLOOKUP(K24,Auswertung!$D$15:$W$1466,20,0)</f>
        <v>20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65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40</v>
      </c>
      <c r="J25" s="42">
        <v>4</v>
      </c>
      <c r="K25" s="117" t="str">
        <f>VLOOKUP(J25,Spieltag!$P$2:$AB$1575,13,0)</f>
        <v>Robin Koch</v>
      </c>
      <c r="L25" s="118" t="str">
        <f>VLOOKUP(K25,Auswertung!$D$15:$F$1466,3,0)</f>
        <v>Frankfurt</v>
      </c>
      <c r="M25" s="119">
        <f>VLOOKUP(K25,Auswertung!$D$15:$W$1466,20,0)</f>
        <v>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20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40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40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70</v>
      </c>
      <c r="F27" s="38">
        <v>6</v>
      </c>
      <c r="G27" s="120" t="str">
        <f>VLOOKUP(F27,Spieltag!$O$2:$AB$1575,14,0)</f>
        <v>Emre Can</v>
      </c>
      <c r="H27" s="121" t="str">
        <f>VLOOKUP(G27,Auswertung!$D$15:$F$1466,3,0)</f>
        <v>Dortmund</v>
      </c>
      <c r="I27" s="122">
        <f>VLOOKUP(G27,Auswertung!$D$15:$W$1466,20,0)</f>
        <v>20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40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40</v>
      </c>
      <c r="F28" s="27">
        <v>7</v>
      </c>
      <c r="G28" s="120" t="str">
        <f>VLOOKUP(F28,Spieltag!$O$2:$AB$1575,14,0)</f>
        <v>Mario Götze</v>
      </c>
      <c r="H28" s="121" t="str">
        <f>VLOOKUP(G28,Auswertung!$D$15:$F$1466,3,0)</f>
        <v>Frankfurt</v>
      </c>
      <c r="I28" s="122">
        <f>VLOOKUP(G28,Auswertung!$D$15:$W$1466,20,0)</f>
        <v>20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10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30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60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30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10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50</v>
      </c>
      <c r="J30" s="39">
        <v>9</v>
      </c>
      <c r="K30" s="123" t="str">
        <f>VLOOKUP(J30,Spieltag!$P$2:$AB$1575,13,0)</f>
        <v>Saša Kalajdžić (A)</v>
      </c>
      <c r="L30" s="124" t="str">
        <f>VLOOKUP(K30,Auswertung!$D$15:$F$1466,3,0)</f>
        <v>Frankfurt</v>
      </c>
      <c r="M30" s="125">
        <f>VLOOKUP(K30,Auswertung!$D$15:$W$1466,20,0)</f>
        <v>20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Deniz Undav</v>
      </c>
      <c r="D31" s="124" t="str">
        <f>VLOOKUP(C31,Auswertung!$D$15:$F$1466,3,0)</f>
        <v>Stuttgart</v>
      </c>
      <c r="E31" s="125">
        <f>VLOOKUP(C31,Auswertung!$D$15:$W$1466,20,0)</f>
        <v>40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10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10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Saša Kalajdžić (A)</v>
      </c>
      <c r="D32" s="124" t="str">
        <f>VLOOKUP(C32,Auswertung!$D$15:$F$1466,3,0)</f>
        <v>Frankfurt</v>
      </c>
      <c r="E32" s="125">
        <f>VLOOKUP(C32,Auswertung!$D$15:$W$1466,20,0)</f>
        <v>20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40</v>
      </c>
      <c r="J32" s="42">
        <v>11</v>
      </c>
      <c r="K32" s="123" t="str">
        <f>VLOOKUP(J32,Spieltag!$P$2:$AB$1575,13,0)</f>
        <v>Niclas Füllkrug</v>
      </c>
      <c r="L32" s="124" t="str">
        <f>VLOOKUP(K32,Auswertung!$D$15:$F$1466,3,0)</f>
        <v>Dortmund</v>
      </c>
      <c r="M32" s="125">
        <f>VLOOKUP(K32,Auswertung!$D$15:$W$1466,20,0)</f>
        <v>30</v>
      </c>
    </row>
    <row r="33" spans="1:14" ht="11.25" customHeight="1" thickBot="1" x14ac:dyDescent="0.25">
      <c r="C33" s="48"/>
      <c r="E33" s="47">
        <f>SUM(E22:E32)</f>
        <v>355</v>
      </c>
      <c r="G33" s="48"/>
      <c r="I33" s="52">
        <f>SUM(I22:I32)</f>
        <v>385</v>
      </c>
      <c r="K33" s="48" t="s">
        <v>674</v>
      </c>
      <c r="L33" s="28"/>
      <c r="M33" s="52">
        <f>SUM(M22:M32)</f>
        <v>265</v>
      </c>
      <c r="N33" s="26" t="s">
        <v>676</v>
      </c>
    </row>
    <row r="34" spans="1:14" ht="11.25" customHeight="1" x14ac:dyDescent="0.2">
      <c r="C34" s="28"/>
      <c r="G34" s="48"/>
      <c r="H34" s="28"/>
      <c r="K34" s="48" t="s">
        <v>675</v>
      </c>
      <c r="L34" s="28"/>
      <c r="N34" s="26" t="s">
        <v>677</v>
      </c>
    </row>
    <row r="35" spans="1:14" s="23" customFormat="1" ht="11.25" customHeight="1" x14ac:dyDescent="0.2">
      <c r="B35" s="50"/>
      <c r="C35" s="235" t="s">
        <v>79</v>
      </c>
      <c r="D35" s="236"/>
      <c r="E35" s="237"/>
      <c r="F35" s="50"/>
      <c r="G35" s="235" t="s">
        <v>100</v>
      </c>
      <c r="H35" s="236"/>
      <c r="I35" s="237"/>
      <c r="K35" s="235" t="s">
        <v>78</v>
      </c>
      <c r="L35" s="236"/>
      <c r="M35" s="237"/>
    </row>
    <row r="36" spans="1:14" ht="11.25" customHeight="1" thickBot="1" x14ac:dyDescent="0.25">
      <c r="B36" s="51"/>
      <c r="C36" s="238"/>
      <c r="D36" s="239"/>
      <c r="E36" s="240"/>
      <c r="F36" s="51"/>
      <c r="G36" s="238"/>
      <c r="H36" s="239"/>
      <c r="I36" s="240"/>
      <c r="K36" s="238"/>
      <c r="L36" s="239"/>
      <c r="M36" s="240"/>
    </row>
    <row r="37" spans="1:14" s="33" customFormat="1" ht="11.25" customHeight="1" x14ac:dyDescent="0.2">
      <c r="A37" s="29"/>
      <c r="B37" s="29"/>
      <c r="C37" s="30" t="s">
        <v>92</v>
      </c>
      <c r="D37" s="31">
        <f>'[2]Niemals zu den Bayern'!$B$3</f>
        <v>27</v>
      </c>
      <c r="E37" s="32" t="s">
        <v>6</v>
      </c>
      <c r="F37" s="29"/>
      <c r="G37" s="30" t="s">
        <v>92</v>
      </c>
      <c r="H37" s="31">
        <f>[2]Markus!$B$3</f>
        <v>33</v>
      </c>
      <c r="I37" s="32" t="s">
        <v>6</v>
      </c>
      <c r="J37" s="29"/>
      <c r="K37" s="30" t="s">
        <v>92</v>
      </c>
      <c r="L37" s="31">
        <f>[2]Rainer!$B$3</f>
        <v>29</v>
      </c>
      <c r="M37" s="32" t="s">
        <v>6</v>
      </c>
    </row>
    <row r="38" spans="1:14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4" ht="11.25" customHeight="1" x14ac:dyDescent="0.2">
      <c r="A39" s="37" t="s">
        <v>42</v>
      </c>
      <c r="B39" s="39">
        <v>1</v>
      </c>
      <c r="C39" s="114" t="str">
        <f>VLOOKUP(B39,Spieltag!$Q$2:$AB$1575,12,0)</f>
        <v>Kevin Trapp</v>
      </c>
      <c r="D39" s="115" t="str">
        <f>VLOOKUP(C39,Auswertung!$D$15:$F$1466,3,0)</f>
        <v>Frankfurt</v>
      </c>
      <c r="E39" s="116">
        <f>VLOOKUP(C39,Auswertung!$D$15:$W$1466,20,0)</f>
        <v>20</v>
      </c>
      <c r="F39" s="39">
        <v>1</v>
      </c>
      <c r="G39" s="114" t="str">
        <f>VLOOKUP(F39,Spieltag!$R$2:$AB$1575,11,0)</f>
        <v>Kevin Trapp</v>
      </c>
      <c r="H39" s="115" t="str">
        <f>VLOOKUP(G39,Auswertung!$D$15:$F$1466,3,0)</f>
        <v>Frankfurt</v>
      </c>
      <c r="I39" s="116">
        <f>VLOOKUP(G39,Auswertung!$D$15:$W$1466,20,0)</f>
        <v>20</v>
      </c>
      <c r="J39" s="38">
        <v>1</v>
      </c>
      <c r="K39" s="114" t="str">
        <f>VLOOKUP(J39,Spieltag!$S$2:$AB$1575,10,0)</f>
        <v>Manuel Neuer</v>
      </c>
      <c r="L39" s="115" t="str">
        <f>VLOOKUP(K39,Auswertung!$D$15:$F$1466,3,0)</f>
        <v>München</v>
      </c>
      <c r="M39" s="116">
        <f>VLOOKUP(K39,Auswertung!$D$15:$W$1466,20,0)</f>
        <v>0</v>
      </c>
    </row>
    <row r="40" spans="1:14" ht="11.25" customHeight="1" x14ac:dyDescent="0.2">
      <c r="A40" s="40" t="s">
        <v>43</v>
      </c>
      <c r="B40" s="39">
        <v>2</v>
      </c>
      <c r="C40" s="117" t="str">
        <f>VLOOKUP(B40,Spieltag!$Q$2:$AB$1575,12,0)</f>
        <v>Lukas Klostermann</v>
      </c>
      <c r="D40" s="118" t="str">
        <f>VLOOKUP(C40,Auswertung!$D$15:$F$1466,3,0)</f>
        <v>Leipzig</v>
      </c>
      <c r="E40" s="119">
        <f>VLOOKUP(C40,Auswertung!$D$15:$W$1466,20,0)</f>
        <v>65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65</v>
      </c>
      <c r="J40" s="38">
        <v>2</v>
      </c>
      <c r="K40" s="117" t="str">
        <f>VLOOKUP(J40,Spieltag!$S$2:$AB$1575,10,0)</f>
        <v>David Raum</v>
      </c>
      <c r="L40" s="118" t="str">
        <f>VLOOKUP(K40,Auswertung!$D$15:$F$1466,3,0)</f>
        <v>Leipzig</v>
      </c>
      <c r="M40" s="119">
        <f>VLOOKUP(K40,Auswertung!$D$15:$W$1466,20,0)</f>
        <v>65</v>
      </c>
    </row>
    <row r="41" spans="1:14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20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20</v>
      </c>
      <c r="J41" s="27">
        <v>3</v>
      </c>
      <c r="K41" s="117" t="str">
        <f>VLOOKUP(J41,Spieltag!$S$2:$AB$1575,10,0)</f>
        <v>Robin Gosens</v>
      </c>
      <c r="L41" s="118" t="str">
        <f>VLOOKUP(K41,Auswertung!$D$15:$F$1466,3,0)</f>
        <v>Union Berlin</v>
      </c>
      <c r="M41" s="119">
        <f>VLOOKUP(K41,Auswertung!$D$15:$W$1466,20,0)</f>
        <v>55</v>
      </c>
    </row>
    <row r="42" spans="1:14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20</v>
      </c>
      <c r="F42" s="42">
        <v>4</v>
      </c>
      <c r="G42" s="117" t="str">
        <f>VLOOKUP(F42,Spieltag!$R$2:$AB$1575,11,0)</f>
        <v>Mats Hummels</v>
      </c>
      <c r="H42" s="118" t="str">
        <f>VLOOKUP(G42,Auswertung!$D$15:$F$1466,3,0)</f>
        <v>Dortmund</v>
      </c>
      <c r="I42" s="119">
        <f>VLOOKUP(G42,Auswertung!$D$15:$W$1466,20,0)</f>
        <v>0</v>
      </c>
      <c r="J42" s="27">
        <v>4</v>
      </c>
      <c r="K42" s="117" t="str">
        <f>VLOOKUP(J42,Spieltag!$S$2:$AB$1575,10,0)</f>
        <v>Nico Elvedi (A)</v>
      </c>
      <c r="L42" s="118" t="str">
        <f>VLOOKUP(K42,Auswertung!$D$15:$F$1466,3,0)</f>
        <v>M'gladbach</v>
      </c>
      <c r="M42" s="119">
        <f>VLOOKUP(K42,Auswertung!$D$15:$W$1466,20,0)</f>
        <v>-35</v>
      </c>
    </row>
    <row r="43" spans="1:14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40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40</v>
      </c>
      <c r="J43" s="38">
        <v>5</v>
      </c>
      <c r="K43" s="120" t="str">
        <f>VLOOKUP(J43,Spieltag!$S$2:$AB$1575,10,0)</f>
        <v>Marcel Sabitzer (A)</v>
      </c>
      <c r="L43" s="121" t="str">
        <f>VLOOKUP(K43,Auswertung!$D$15:$F$1466,3,0)</f>
        <v>Dortmund</v>
      </c>
      <c r="M43" s="122">
        <f>VLOOKUP(K43,Auswertung!$D$15:$W$1466,20,0)</f>
        <v>20</v>
      </c>
    </row>
    <row r="44" spans="1:14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10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40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40</v>
      </c>
    </row>
    <row r="45" spans="1:14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70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70</v>
      </c>
      <c r="J45" s="27">
        <v>7</v>
      </c>
      <c r="K45" s="120" t="str">
        <f>VLOOKUP(J45,Spieltag!$S$2:$AB$1575,10,0)</f>
        <v>Mario Götze</v>
      </c>
      <c r="L45" s="121" t="str">
        <f>VLOOKUP(K45,Auswertung!$D$15:$F$1466,3,0)</f>
        <v>Frankfurt</v>
      </c>
      <c r="M45" s="122">
        <f>VLOOKUP(K45,Auswertung!$D$15:$W$1466,20,0)</f>
        <v>20</v>
      </c>
    </row>
    <row r="46" spans="1:14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30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30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40</v>
      </c>
    </row>
    <row r="47" spans="1:14" ht="11.25" customHeight="1" x14ac:dyDescent="0.2">
      <c r="A47" s="45" t="s">
        <v>45</v>
      </c>
      <c r="B47" s="39">
        <v>9</v>
      </c>
      <c r="C47" s="123" t="str">
        <f>VLOOKUP(B47,Spieltag!$Q$2:$AB$1575,12,0)</f>
        <v>Deniz Undav</v>
      </c>
      <c r="D47" s="124" t="str">
        <f>VLOOKUP(C47,Auswertung!$D$15:$F$1466,3,0)</f>
        <v>Stuttgart</v>
      </c>
      <c r="E47" s="125">
        <f>VLOOKUP(C47,Auswertung!$D$15:$W$1466,20,0)</f>
        <v>40</v>
      </c>
      <c r="F47" s="39">
        <v>9</v>
      </c>
      <c r="G47" s="123" t="str">
        <f>VLOOKUP(F47,Spieltag!$R$2:$AB$1575,11,0)</f>
        <v>Deniz Undav</v>
      </c>
      <c r="H47" s="124" t="str">
        <f>VLOOKUP(G47,Auswertung!$D$15:$F$1466,3,0)</f>
        <v>Stuttgart</v>
      </c>
      <c r="I47" s="125">
        <f>VLOOKUP(G47,Auswertung!$D$15:$W$1466,20,0)</f>
        <v>40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10</v>
      </c>
    </row>
    <row r="48" spans="1:14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10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10</v>
      </c>
      <c r="J48" s="27">
        <v>10</v>
      </c>
      <c r="K48" s="123" t="str">
        <f>VLOOKUP(J48,Spieltag!$S$2:$AB$1575,10,0)</f>
        <v>Niclas Füllkrug</v>
      </c>
      <c r="L48" s="124" t="str">
        <f>VLOOKUP(K48,Auswertung!$D$15:$F$1466,3,0)</f>
        <v>Dortmund</v>
      </c>
      <c r="M48" s="125">
        <f>VLOOKUP(K48,Auswertung!$D$15:$W$1466,20,0)</f>
        <v>30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40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0</v>
      </c>
      <c r="J49" s="27">
        <v>11</v>
      </c>
      <c r="K49" s="123" t="str">
        <f>VLOOKUP(J49,Spieltag!$S$2:$AB$1575,10,0)</f>
        <v>Saša Kalajdžić (A)</v>
      </c>
      <c r="L49" s="124" t="str">
        <f>VLOOKUP(K49,Auswertung!$D$15:$F$1466,3,0)</f>
        <v>Frankfurt</v>
      </c>
      <c r="M49" s="125">
        <f>VLOOKUP(K49,Auswertung!$D$15:$W$1466,20,0)</f>
        <v>20</v>
      </c>
    </row>
    <row r="50" spans="1:13" ht="11.25" customHeight="1" thickBot="1" x14ac:dyDescent="0.25">
      <c r="C50" s="48"/>
      <c r="D50" s="28"/>
      <c r="E50" s="52">
        <f>SUM(E39:E49)</f>
        <v>365</v>
      </c>
      <c r="G50" s="48"/>
      <c r="I50" s="52">
        <f>SUM(I39:I49)</f>
        <v>335</v>
      </c>
      <c r="K50" s="207"/>
      <c r="L50" s="207"/>
      <c r="M50" s="52">
        <f>SUM(M39:M49)</f>
        <v>265</v>
      </c>
    </row>
    <row r="51" spans="1:13" ht="11.25" customHeight="1" x14ac:dyDescent="0.2">
      <c r="G51" s="207"/>
      <c r="K51" s="207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G232" sqref="G232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2" t="s">
        <v>40</v>
      </c>
      <c r="F1" s="243"/>
      <c r="G1" s="244"/>
      <c r="H1" s="34"/>
      <c r="I1" s="242" t="s">
        <v>41</v>
      </c>
      <c r="J1" s="243"/>
      <c r="K1" s="244"/>
      <c r="L1" s="34"/>
      <c r="M1" s="242" t="s">
        <v>102</v>
      </c>
      <c r="N1" s="243"/>
      <c r="O1" s="244"/>
      <c r="P1" s="34"/>
      <c r="Q1" s="242" t="s">
        <v>51</v>
      </c>
      <c r="R1" s="243"/>
      <c r="S1" s="244"/>
      <c r="T1" s="34"/>
      <c r="U1" s="242" t="s">
        <v>52</v>
      </c>
      <c r="V1" s="243"/>
      <c r="W1" s="244"/>
      <c r="X1" s="34"/>
      <c r="AA1" s="34"/>
    </row>
    <row r="2" spans="1:30" ht="11.25" customHeight="1" x14ac:dyDescent="0.2">
      <c r="E2" s="245"/>
      <c r="F2" s="246"/>
      <c r="G2" s="247"/>
      <c r="H2" s="34"/>
      <c r="I2" s="245"/>
      <c r="J2" s="246"/>
      <c r="K2" s="247"/>
      <c r="L2" s="34"/>
      <c r="M2" s="245"/>
      <c r="N2" s="246"/>
      <c r="O2" s="247"/>
      <c r="P2" s="34"/>
      <c r="Q2" s="245"/>
      <c r="R2" s="246"/>
      <c r="S2" s="247"/>
      <c r="T2" s="34"/>
      <c r="U2" s="245"/>
      <c r="V2" s="246"/>
      <c r="W2" s="247"/>
      <c r="X2" s="34"/>
      <c r="AA2" s="34"/>
    </row>
    <row r="3" spans="1:30" ht="11.25" customHeight="1" thickBot="1" x14ac:dyDescent="0.25">
      <c r="E3" s="248"/>
      <c r="F3" s="249"/>
      <c r="G3" s="250"/>
      <c r="H3" s="34"/>
      <c r="I3" s="248"/>
      <c r="J3" s="249"/>
      <c r="K3" s="250"/>
      <c r="L3" s="34"/>
      <c r="M3" s="248"/>
      <c r="N3" s="249"/>
      <c r="O3" s="250"/>
      <c r="P3" s="34"/>
      <c r="Q3" s="248"/>
      <c r="R3" s="249"/>
      <c r="S3" s="250"/>
      <c r="T3" s="34"/>
      <c r="U3" s="248"/>
      <c r="V3" s="249"/>
      <c r="W3" s="250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Bochum</v>
      </c>
      <c r="C5" s="81" t="str">
        <f>Auswertung!$E$1</f>
        <v>München</v>
      </c>
      <c r="E5" s="82">
        <f>IF(('[1]22. Spieltag'!D5=""),"",('[1]22. Spieltag'!D5))</f>
        <v>1</v>
      </c>
      <c r="F5" s="83">
        <f>IF(('[1]22. Spieltag'!E5=""),"",('[1]22.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IF(('[1]22. Spieltag'!H5=""),"",('[1]22. Spieltag'!H5))</f>
        <v>1</v>
      </c>
      <c r="J5" s="83">
        <f>IF(('[1]22. Spieltag'!I5=""),"",('[1]22. Spieltag'!I5))</f>
        <v>3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IF(('[1]22. Spieltag'!L5=""),"",('[1]22. Spieltag'!L5))</f>
        <v>1</v>
      </c>
      <c r="N5" s="83">
        <f>IF(('[1]22. Spieltag'!M5=""),"",('[1]22.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IF(('[1]22. Spieltag'!P5=""),"",('[1]22. Spieltag'!P5))</f>
        <v>1</v>
      </c>
      <c r="R5" s="83">
        <f>IF(('[1]22. Spieltag'!Q5=""),"",('[1]22.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IF(('[1]22. Spieltag'!T5=""),"",('[1]22. Spieltag'!T5))</f>
        <v>1</v>
      </c>
      <c r="V5" s="83">
        <f>IF(('[1]22. Spieltag'!U5=""),"",('[1]22.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Wolfsburg</v>
      </c>
      <c r="C6" s="87" t="str">
        <f>Auswertung!$E$2</f>
        <v>Dortmund</v>
      </c>
      <c r="E6" s="82">
        <f>IF(('[1]22. Spieltag'!D6=""),"",('[1]22. Spieltag'!D6))</f>
        <v>0</v>
      </c>
      <c r="F6" s="83">
        <f>IF(('[1]22. Spieltag'!E6=""),"",('[1]22. Spieltag'!E6))</f>
        <v>2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IF(('[1]22. Spieltag'!H6=""),"",('[1]22. Spieltag'!H6))</f>
        <v>0</v>
      </c>
      <c r="J6" s="83">
        <f>IF(('[1]22. Spieltag'!I6=""),"",('[1]22. Spieltag'!I6))</f>
        <v>2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IF(('[1]22. Spieltag'!L6=""),"",('[1]22. Spieltag'!L6))</f>
        <v>1</v>
      </c>
      <c r="N6" s="83">
        <f>IF(('[1]22. Spieltag'!M6=""),"",('[1]22.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IF(('[1]22. Spieltag'!P6=""),"",('[1]22. Spieltag'!P6))</f>
        <v>0</v>
      </c>
      <c r="R6" s="83">
        <f>IF(('[1]22. Spieltag'!Q6=""),"",('[1]22.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IF(('[1]22. Spieltag'!T6=""),"",('[1]22. Spieltag'!T6))</f>
        <v>1</v>
      </c>
      <c r="V6" s="83">
        <f>IF(('[1]22. Spieltag'!U6=""),"",('[1]22.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Hoffenheim</v>
      </c>
      <c r="C7" s="87" t="str">
        <f>Auswertung!$E$3</f>
        <v>Union Berlin</v>
      </c>
      <c r="E7" s="82">
        <f>IF(('[1]22. Spieltag'!D7=""),"",('[1]22. Spieltag'!D7))</f>
        <v>2</v>
      </c>
      <c r="F7" s="83">
        <f>IF(('[1]22. Spieltag'!E7=""),"",('[1]22.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IF(('[1]22. Spieltag'!H7=""),"",('[1]22. Spieltag'!H7))</f>
        <v>2</v>
      </c>
      <c r="J7" s="83">
        <f>IF(('[1]22. Spieltag'!I7=""),"",('[1]22.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IF(('[1]22. Spieltag'!L7=""),"",('[1]22. Spieltag'!L7))</f>
        <v>2</v>
      </c>
      <c r="N7" s="83">
        <f>IF(('[1]22. Spieltag'!M7=""),"",('[1]22.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IF(('[1]22. Spieltag'!P7=""),"",('[1]22. Spieltag'!P7))</f>
        <v>2</v>
      </c>
      <c r="R7" s="83">
        <f>IF(('[1]22. Spieltag'!Q7=""),"",('[1]22.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IF(('[1]22. Spieltag'!T7=""),"",('[1]22. Spieltag'!T7))</f>
        <v>2</v>
      </c>
      <c r="V7" s="83">
        <f>IF(('[1]22. Spieltag'!U7=""),"",('[1]22.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Heidenheim</v>
      </c>
      <c r="C8" s="87" t="str">
        <f>Auswertung!$E$4</f>
        <v>Leverkusen</v>
      </c>
      <c r="E8" s="82">
        <f>IF(('[1]22. Spieltag'!D8=""),"",('[1]22. Spieltag'!D8))</f>
        <v>1</v>
      </c>
      <c r="F8" s="83">
        <f>IF(('[1]22. Spieltag'!E8=""),"",('[1]22. Spieltag'!E8))</f>
        <v>3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IF(('[1]22. Spieltag'!H8=""),"",('[1]22. Spieltag'!H8))</f>
        <v>1</v>
      </c>
      <c r="J8" s="83">
        <f>IF(('[1]22. Spieltag'!I8=""),"",('[1]22. Spieltag'!I8))</f>
        <v>3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IF(('[1]22. Spieltag'!L8=""),"",('[1]22. Spieltag'!L8))</f>
        <v>1</v>
      </c>
      <c r="N8" s="83">
        <f>IF(('[1]22. Spieltag'!M8=""),"",('[1]22. Spieltag'!M8))</f>
        <v>3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IF(('[1]22. Spieltag'!P8=""),"",('[1]22. Spieltag'!P8))</f>
        <v>1</v>
      </c>
      <c r="R8" s="83">
        <f>IF(('[1]22. Spieltag'!Q8=""),"",('[1]22. Spieltag'!Q8))</f>
        <v>3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IF(('[1]22. Spieltag'!T8=""),"",('[1]22. Spieltag'!T8))</f>
        <v>1</v>
      </c>
      <c r="V8" s="83">
        <f>IF(('[1]22. Spieltag'!U8=""),"",('[1]22. Spieltag'!U8))</f>
        <v>2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60</v>
      </c>
    </row>
    <row r="9" spans="1:30" ht="11.25" customHeight="1" x14ac:dyDescent="0.2">
      <c r="A9" s="85"/>
      <c r="B9" s="86" t="str">
        <f>Auswertung!$D$5</f>
        <v>Freiburg</v>
      </c>
      <c r="C9" s="87" t="str">
        <f>Auswertung!$E$5</f>
        <v>Frankfurt</v>
      </c>
      <c r="E9" s="82">
        <f>IF(('[1]22. Spieltag'!D9=""),"",('[1]22. Spieltag'!D9))</f>
        <v>2</v>
      </c>
      <c r="F9" s="83">
        <f>IF(('[1]22. Spieltag'!E9=""),"",('[1]22. Spieltag'!E9))</f>
        <v>2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40</v>
      </c>
      <c r="I9" s="82">
        <f>IF(('[1]22. Spieltag'!H9=""),"",('[1]22. Spieltag'!H9))</f>
        <v>2</v>
      </c>
      <c r="J9" s="83">
        <f>IF(('[1]22. Spieltag'!I9=""),"",('[1]22. Spieltag'!I9))</f>
        <v>2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40</v>
      </c>
      <c r="M9" s="82">
        <f>IF(('[1]22. Spieltag'!L9=""),"",('[1]22. Spieltag'!L9))</f>
        <v>2</v>
      </c>
      <c r="N9" s="83">
        <f>IF(('[1]22. Spieltag'!M9=""),"",('[1]22.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IF(('[1]22. Spieltag'!P9=""),"",('[1]22. Spieltag'!P9))</f>
        <v>2</v>
      </c>
      <c r="R9" s="83">
        <f>IF(('[1]22. Spieltag'!Q9=""),"",('[1]22.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40</v>
      </c>
      <c r="U9" s="82">
        <f>IF(('[1]22. Spieltag'!T9=""),"",('[1]22. Spieltag'!T9))</f>
        <v>2</v>
      </c>
      <c r="V9" s="83">
        <f>IF(('[1]22. Spieltag'!U9=""),"",('[1]22.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Leipzig</v>
      </c>
      <c r="C10" s="87" t="str">
        <f>Auswertung!$E$6</f>
        <v>M'gladbach</v>
      </c>
      <c r="E10" s="82">
        <f>IF(('[1]22. Spieltag'!D10=""),"",('[1]22. Spieltag'!D10))</f>
        <v>3</v>
      </c>
      <c r="F10" s="83">
        <f>IF(('[1]22. Spieltag'!E10=""),"",('[1]22.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40</v>
      </c>
      <c r="I10" s="82">
        <f>IF(('[1]22. Spieltag'!H10=""),"",('[1]22. Spieltag'!H10))</f>
        <v>3</v>
      </c>
      <c r="J10" s="83">
        <f>IF(('[1]22. Spieltag'!I10=""),"",('[1]22.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40</v>
      </c>
      <c r="M10" s="82">
        <f>IF(('[1]22. Spieltag'!L10=""),"",('[1]22. Spieltag'!L10))</f>
        <v>2</v>
      </c>
      <c r="N10" s="83">
        <f>IF(('[1]22. Spieltag'!M10=""),"",('[1]22.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20</v>
      </c>
      <c r="Q10" s="82">
        <f>IF(('[1]22. Spieltag'!P10=""),"",('[1]22. Spieltag'!P10))</f>
        <v>3</v>
      </c>
      <c r="R10" s="83">
        <f>IF(('[1]22. Spieltag'!Q10=""),"",('[1]22.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40</v>
      </c>
      <c r="U10" s="82">
        <f>IF(('[1]22. Spieltag'!T10=""),"",('[1]22. Spieltag'!T10))</f>
        <v>2</v>
      </c>
      <c r="V10" s="83">
        <f>IF(('[1]22. Spieltag'!U10=""),"",('[1]22.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20</v>
      </c>
    </row>
    <row r="11" spans="1:30" ht="11.25" customHeight="1" x14ac:dyDescent="0.2">
      <c r="A11" s="85"/>
      <c r="B11" s="86" t="str">
        <f>Auswertung!$D$7</f>
        <v>Köln</v>
      </c>
      <c r="C11" s="87" t="str">
        <f>Auswertung!$E$7</f>
        <v>Bremen</v>
      </c>
      <c r="E11" s="82">
        <f>IF(('[1]22. Spieltag'!D11=""),"",('[1]22. Spieltag'!D11))</f>
        <v>3</v>
      </c>
      <c r="F11" s="83">
        <f>IF(('[1]22. Spieltag'!E11=""),"",('[1]22.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IF(('[1]22. Spieltag'!H11=""),"",('[1]22. Spieltag'!H11))</f>
        <v>3</v>
      </c>
      <c r="J11" s="83">
        <f>IF(('[1]22. Spieltag'!I11=""),"",('[1]22.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IF(('[1]22. Spieltag'!L11=""),"",('[1]22. Spieltag'!L11))</f>
        <v>2</v>
      </c>
      <c r="N11" s="83">
        <f>IF(('[1]22. Spieltag'!M11=""),"",('[1]22.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IF(('[1]22. Spieltag'!P11=""),"",('[1]22. Spieltag'!P11))</f>
        <v>3</v>
      </c>
      <c r="R11" s="83">
        <f>IF(('[1]22. Spieltag'!Q11=""),"",('[1]22.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IF(('[1]22. Spieltag'!T11=""),"",('[1]22. Spieltag'!T11))</f>
        <v>2</v>
      </c>
      <c r="V11" s="83">
        <f>IF(('[1]22. Spieltag'!U11=""),"",('[1]22.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Mainz</v>
      </c>
      <c r="C12" s="87" t="str">
        <f>Auswertung!$E$8</f>
        <v>Augsburg</v>
      </c>
      <c r="E12" s="82">
        <f>IF(('[1]22. Spieltag'!D12=""),"",('[1]22. Spieltag'!D12))</f>
        <v>1</v>
      </c>
      <c r="F12" s="83">
        <f>IF(('[1]22. Spieltag'!E12=""),"",('[1]22.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IF(('[1]22. Spieltag'!H12=""),"",('[1]22. Spieltag'!H12))</f>
        <v>1</v>
      </c>
      <c r="J12" s="83">
        <f>IF(('[1]22. Spieltag'!I12=""),"",('[1]22.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IF(('[1]22. Spieltag'!L12=""),"",('[1]22. Spieltag'!L12))</f>
        <v>1</v>
      </c>
      <c r="N12" s="83">
        <f>IF(('[1]22. Spieltag'!M12=""),"",('[1]22.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IF(('[1]22. Spieltag'!P12=""),"",('[1]22. Spieltag'!P12))</f>
        <v>1</v>
      </c>
      <c r="R12" s="83">
        <f>IF(('[1]22. Spieltag'!Q12=""),"",('[1]22.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IF(('[1]22. Spieltag'!T12=""),"",('[1]22. Spieltag'!T12))</f>
        <v>2</v>
      </c>
      <c r="V12" s="83">
        <f>IF(('[1]22. Spieltag'!U12=""),"",('[1]22.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40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Stuttgart</v>
      </c>
      <c r="E13" s="82">
        <f>IF(('[1]22. Spieltag'!D13=""),"",('[1]22. Spieltag'!D13))</f>
        <v>0</v>
      </c>
      <c r="F13" s="83">
        <f>IF(('[1]22. Spieltag'!E13=""),"",('[1]22. Spieltag'!E13))</f>
        <v>3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IF(('[1]22. Spieltag'!H13=""),"",('[1]22. Spieltag'!H13))</f>
        <v>0</v>
      </c>
      <c r="J13" s="83">
        <f>IF(('[1]22. Spieltag'!I13=""),"",('[1]22. Spieltag'!I13))</f>
        <v>3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20</v>
      </c>
      <c r="M13" s="82">
        <f>IF(('[1]22. Spieltag'!L13=""),"",('[1]22. Spieltag'!L13))</f>
        <v>1</v>
      </c>
      <c r="N13" s="83">
        <f>IF(('[1]22. Spieltag'!M13=""),"",('[1]22. Spieltag'!M13))</f>
        <v>3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IF(('[1]22. Spieltag'!P13=""),"",('[1]22. Spieltag'!P13))</f>
        <v>0</v>
      </c>
      <c r="R13" s="83">
        <f>IF(('[1]22. Spieltag'!Q13=""),"",('[1]22. Spieltag'!Q13))</f>
        <v>3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IF(('[1]22. Spieltag'!T13=""),"",('[1]22. Spieltag'!T13))</f>
        <v>1</v>
      </c>
      <c r="V13" s="83">
        <f>IF(('[1]22. Spieltag'!U13=""),"",('[1]22.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60</v>
      </c>
    </row>
    <row r="14" spans="1:30" ht="11.25" customHeight="1" thickBot="1" x14ac:dyDescent="0.25">
      <c r="G14" s="47">
        <f>SUM(G5:G13)</f>
        <v>120</v>
      </c>
      <c r="K14" s="47">
        <f>SUM(K5:K13)</f>
        <v>120</v>
      </c>
      <c r="O14" s="47">
        <f>SUM(O5:O13)</f>
        <v>60</v>
      </c>
      <c r="S14" s="47">
        <f>SUM(S5:S13)</f>
        <v>120</v>
      </c>
      <c r="W14" s="47">
        <f>SUM(W5:W13)</f>
        <v>180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1" t="s">
        <v>90</v>
      </c>
      <c r="F16" s="252"/>
      <c r="G16" s="253"/>
      <c r="H16" s="34"/>
      <c r="I16" s="242" t="s">
        <v>79</v>
      </c>
      <c r="J16" s="243"/>
      <c r="K16" s="244"/>
      <c r="L16" s="34"/>
      <c r="M16" s="242" t="s">
        <v>100</v>
      </c>
      <c r="N16" s="243"/>
      <c r="O16" s="244"/>
      <c r="P16" s="34"/>
      <c r="Q16" s="242" t="s">
        <v>78</v>
      </c>
      <c r="R16" s="243"/>
      <c r="S16" s="244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4"/>
      <c r="F17" s="255"/>
      <c r="G17" s="256"/>
      <c r="H17" s="34"/>
      <c r="I17" s="245"/>
      <c r="J17" s="246"/>
      <c r="K17" s="247"/>
      <c r="L17" s="34"/>
      <c r="M17" s="245"/>
      <c r="N17" s="246"/>
      <c r="O17" s="247"/>
      <c r="P17" s="34"/>
      <c r="Q17" s="245"/>
      <c r="R17" s="246"/>
      <c r="S17" s="247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7"/>
      <c r="F18" s="258"/>
      <c r="G18" s="259"/>
      <c r="H18" s="34"/>
      <c r="I18" s="248"/>
      <c r="J18" s="249"/>
      <c r="K18" s="250"/>
      <c r="L18" s="34"/>
      <c r="M18" s="248"/>
      <c r="N18" s="249"/>
      <c r="O18" s="250"/>
      <c r="P18" s="34"/>
      <c r="Q18" s="248"/>
      <c r="R18" s="249"/>
      <c r="S18" s="250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Bochum</v>
      </c>
      <c r="C20" s="81" t="str">
        <f>Auswertung!$E$1</f>
        <v>München</v>
      </c>
      <c r="E20" s="82">
        <f>IF(('[1]22. Spieltag'!D20=""),"",('[1]22. Spieltag'!D20))</f>
        <v>1</v>
      </c>
      <c r="F20" s="83">
        <f>IF(('[1]22. Spieltag'!E20=""),"",('[1]22.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IF(('[1]22. Spieltag'!H20=""),"",('[1]22. Spieltag'!H20))</f>
        <v>1</v>
      </c>
      <c r="J20" s="83">
        <f>IF(('[1]22. Spieltag'!I20=""),"",('[1]22.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IF(('[1]22. Spieltag'!L20=""),"",('[1]22. Spieltag'!L20))</f>
        <v>1</v>
      </c>
      <c r="N20" s="83">
        <f>IF(('[1]22. Spieltag'!M20=""),"",('[1]22. Spieltag'!M20))</f>
        <v>2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IF(('[1]22. Spieltag'!P20=""),"",('[1]22. Spieltag'!P20))</f>
        <v>0</v>
      </c>
      <c r="R20" s="83">
        <f>IF(('[1]22. Spieltag'!Q20=""),"",('[1]22. Spieltag'!Q20))</f>
        <v>3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Wolfsburg</v>
      </c>
      <c r="C21" s="87" t="str">
        <f>Auswertung!$E$2</f>
        <v>Dortmund</v>
      </c>
      <c r="E21" s="82">
        <f>IF(('[1]22. Spieltag'!D21=""),"",('[1]22. Spieltag'!D21))</f>
        <v>1</v>
      </c>
      <c r="F21" s="83">
        <f>IF(('[1]22. Spieltag'!E21=""),"",('[1]22.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IF(('[1]22. Spieltag'!H21=""),"",('[1]22. Spieltag'!H21))</f>
        <v>1</v>
      </c>
      <c r="J21" s="83">
        <f>IF(('[1]22. Spieltag'!I21=""),"",('[1]22.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IF(('[1]22. Spieltag'!L21=""),"",('[1]22. Spieltag'!L21))</f>
        <v>1</v>
      </c>
      <c r="N21" s="83">
        <f>IF(('[1]22. Spieltag'!M21=""),"",('[1]22.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IF(('[1]22. Spieltag'!P21=""),"",('[1]22. Spieltag'!P21))</f>
        <v>1</v>
      </c>
      <c r="R21" s="83">
        <f>IF(('[1]22. Spieltag'!Q21=""),"",('[1]22. Spieltag'!Q21))</f>
        <v>2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Hoffenheim</v>
      </c>
      <c r="C22" s="87" t="str">
        <f>Auswertung!$E$3</f>
        <v>Union Berlin</v>
      </c>
      <c r="E22" s="82">
        <f>IF(('[1]22. Spieltag'!D22=""),"",('[1]22. Spieltag'!D22))</f>
        <v>2</v>
      </c>
      <c r="F22" s="83">
        <f>IF(('[1]22. Spieltag'!E22=""),"",('[1]22.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IF(('[1]22. Spieltag'!H22=""),"",('[1]22. Spieltag'!H22))</f>
        <v>2</v>
      </c>
      <c r="J22" s="83">
        <f>IF(('[1]22. Spieltag'!I22=""),"",('[1]22.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IF(('[1]22. Spieltag'!L22=""),"",('[1]22. Spieltag'!L22))</f>
        <v>2</v>
      </c>
      <c r="N22" s="83">
        <f>IF(('[1]22. Spieltag'!M22=""),"",('[1]22.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IF(('[1]22. Spieltag'!P22=""),"",('[1]22. Spieltag'!P22))</f>
        <v>1</v>
      </c>
      <c r="R22" s="83">
        <f>IF(('[1]22. Spieltag'!Q22=""),"",('[1]22.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Heidenheim</v>
      </c>
      <c r="C23" s="87" t="str">
        <f>Auswertung!$E$4</f>
        <v>Leverkusen</v>
      </c>
      <c r="E23" s="82">
        <f>IF(('[1]22. Spieltag'!D23=""),"",('[1]22. Spieltag'!D23))</f>
        <v>1</v>
      </c>
      <c r="F23" s="83">
        <f>IF(('[1]22. Spieltag'!E23=""),"",('[1]22. Spieltag'!E23))</f>
        <v>2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60</v>
      </c>
      <c r="I23" s="82">
        <f>IF(('[1]22. Spieltag'!H23=""),"",('[1]22. Spieltag'!H23))</f>
        <v>1</v>
      </c>
      <c r="J23" s="83">
        <f>IF(('[1]22. Spieltag'!I23=""),"",('[1]22. Spieltag'!I23))</f>
        <v>2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60</v>
      </c>
      <c r="M23" s="82">
        <f>IF(('[1]22. Spieltag'!L23=""),"",('[1]22. Spieltag'!L23))</f>
        <v>1</v>
      </c>
      <c r="N23" s="83">
        <f>IF(('[1]22. Spieltag'!M23=""),"",('[1]22. Spieltag'!M23))</f>
        <v>2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60</v>
      </c>
      <c r="Q23" s="82">
        <f>IF(('[1]22. Spieltag'!P23=""),"",('[1]22. Spieltag'!P23))</f>
        <v>1</v>
      </c>
      <c r="R23" s="83">
        <f>IF(('[1]22. Spieltag'!Q23=""),"",('[1]22. Spieltag'!Q23))</f>
        <v>3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Freiburg</v>
      </c>
      <c r="C24" s="87" t="str">
        <f>Auswertung!$E$5</f>
        <v>Frankfurt</v>
      </c>
      <c r="E24" s="82">
        <f>IF(('[1]22. Spieltag'!D24=""),"",('[1]22. Spieltag'!D24))</f>
        <v>2</v>
      </c>
      <c r="F24" s="83">
        <f>IF(('[1]22. Spieltag'!E24=""),"",('[1]22.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IF(('[1]22. Spieltag'!H24=""),"",('[1]22. Spieltag'!H24))</f>
        <v>2</v>
      </c>
      <c r="J24" s="83">
        <f>IF(('[1]22. Spieltag'!I24=""),"",('[1]22.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IF(('[1]22. Spieltag'!L24=""),"",('[1]22. Spieltag'!L24))</f>
        <v>1</v>
      </c>
      <c r="N24" s="83">
        <f>IF(('[1]22. Spieltag'!M24=""),"",('[1]22.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40</v>
      </c>
      <c r="Q24" s="82">
        <f>IF(('[1]22. Spieltag'!P24=""),"",('[1]22. Spieltag'!P24))</f>
        <v>1</v>
      </c>
      <c r="R24" s="83">
        <f>IF(('[1]22. Spieltag'!Q24=""),"",('[1]22.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40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Leipzig</v>
      </c>
      <c r="C25" s="87" t="str">
        <f>Auswertung!$E$6</f>
        <v>M'gladbach</v>
      </c>
      <c r="E25" s="82">
        <f>IF(('[1]22. Spieltag'!D25=""),"",('[1]22. Spieltag'!D25))</f>
        <v>2</v>
      </c>
      <c r="F25" s="83">
        <f>IF(('[1]22. Spieltag'!E25=""),"",('[1]22.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20</v>
      </c>
      <c r="I25" s="82">
        <f>IF(('[1]22. Spieltag'!H25=""),"",('[1]22. Spieltag'!H25))</f>
        <v>2</v>
      </c>
      <c r="J25" s="83">
        <f>IF(('[1]22. Spieltag'!I25=""),"",('[1]22.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20</v>
      </c>
      <c r="M25" s="82">
        <f>IF(('[1]22. Spieltag'!L25=""),"",('[1]22. Spieltag'!L25))</f>
        <v>2</v>
      </c>
      <c r="N25" s="83">
        <f>IF(('[1]22. Spieltag'!M25=""),"",('[1]22.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20</v>
      </c>
      <c r="Q25" s="82">
        <f>IF(('[1]22. Spieltag'!P25=""),"",('[1]22. Spieltag'!P25))</f>
        <v>2</v>
      </c>
      <c r="R25" s="83">
        <f>IF(('[1]22. Spieltag'!Q25=""),"",('[1]22.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20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Köln</v>
      </c>
      <c r="C26" s="87" t="str">
        <f>Auswertung!$E$7</f>
        <v>Bremen</v>
      </c>
      <c r="E26" s="82">
        <f>IF(('[1]22. Spieltag'!D26=""),"",('[1]22. Spieltag'!D26))</f>
        <v>2</v>
      </c>
      <c r="F26" s="83">
        <f>IF(('[1]22. Spieltag'!E26=""),"",('[1]22.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IF(('[1]22. Spieltag'!H26=""),"",('[1]22. Spieltag'!H26))</f>
        <v>2</v>
      </c>
      <c r="J26" s="83">
        <f>IF(('[1]22. Spieltag'!I26=""),"",('[1]22.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IF(('[1]22. Spieltag'!L26=""),"",('[1]22. Spieltag'!L26))</f>
        <v>1</v>
      </c>
      <c r="N26" s="83">
        <f>IF(('[1]22. Spieltag'!M26=""),"",('[1]22.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IF(('[1]22. Spieltag'!P26=""),"",('[1]22. Spieltag'!P26))</f>
        <v>0</v>
      </c>
      <c r="R26" s="83">
        <f>IF(('[1]22. Spieltag'!Q26=""),"",('[1]22. Spieltag'!Q26))</f>
        <v>0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Mainz</v>
      </c>
      <c r="C27" s="87" t="str">
        <f>Auswertung!$E$8</f>
        <v>Augsburg</v>
      </c>
      <c r="E27" s="82">
        <f>IF(('[1]22. Spieltag'!D27=""),"",('[1]22. Spieltag'!D27))</f>
        <v>2</v>
      </c>
      <c r="F27" s="83">
        <f>IF(('[1]22. Spieltag'!E27=""),"",('[1]22.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40</v>
      </c>
      <c r="I27" s="82">
        <f>IF(('[1]22. Spieltag'!H27=""),"",('[1]22. Spieltag'!H27))</f>
        <v>2</v>
      </c>
      <c r="J27" s="83">
        <f>IF(('[1]22. Spieltag'!I27=""),"",('[1]22.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40</v>
      </c>
      <c r="M27" s="82">
        <f>IF(('[1]22. Spieltag'!L27=""),"",('[1]22. Spieltag'!L27))</f>
        <v>1</v>
      </c>
      <c r="N27" s="83">
        <f>IF(('[1]22. Spieltag'!M27=""),"",('[1]22.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IF(('[1]22. Spieltag'!P27=""),"",('[1]22. Spieltag'!P27))</f>
        <v>1</v>
      </c>
      <c r="R27" s="83">
        <f>IF(('[1]22. Spieltag'!Q27=""),"",('[1]22. Spieltag'!Q27))</f>
        <v>0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60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Stuttgart</v>
      </c>
      <c r="E28" s="82">
        <f>IF(('[1]22. Spieltag'!D28=""),"",('[1]22. Spieltag'!D28))</f>
        <v>1</v>
      </c>
      <c r="F28" s="83">
        <f>IF(('[1]22. Spieltag'!E28=""),"",('[1]22.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60</v>
      </c>
      <c r="I28" s="82">
        <f>IF(('[1]22. Spieltag'!H28=""),"",('[1]22. Spieltag'!H28))</f>
        <v>1</v>
      </c>
      <c r="J28" s="83">
        <f>IF(('[1]22. Spieltag'!I28=""),"",('[1]22.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60</v>
      </c>
      <c r="M28" s="82">
        <f>IF(('[1]22. Spieltag'!L28=""),"",('[1]22. Spieltag'!L28))</f>
        <v>1</v>
      </c>
      <c r="N28" s="83">
        <f>IF(('[1]22. Spieltag'!M28=""),"",('[1]22. Spieltag'!M28))</f>
        <v>2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60</v>
      </c>
      <c r="Q28" s="82">
        <f>IF(('[1]22. Spieltag'!P28=""),"",('[1]22. Spieltag'!P28))</f>
        <v>0</v>
      </c>
      <c r="R28" s="83">
        <f>IF(('[1]22. Spieltag'!Q28=""),"",('[1]22. Spieltag'!Q28))</f>
        <v>3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180</v>
      </c>
      <c r="K29" s="47">
        <f>SUM(K20:K28)</f>
        <v>180</v>
      </c>
      <c r="O29" s="47">
        <f>SUM(O20:O28)</f>
        <v>180</v>
      </c>
      <c r="S29" s="47">
        <f>SUM(S20:S28)</f>
        <v>160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tabSelected="1" zoomScale="145" zoomScaleNormal="145" workbookViewId="0">
      <selection activeCell="G232" sqref="G232"/>
    </sheetView>
  </sheetViews>
  <sheetFormatPr baseColWidth="10" defaultColWidth="11.42578125" defaultRowHeight="12.75" x14ac:dyDescent="0.2"/>
  <cols>
    <col min="1" max="1" width="22.140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120</v>
      </c>
      <c r="C4" s="101">
        <f>Mannschaftstipps!$E$16</f>
        <v>340</v>
      </c>
      <c r="D4" s="101">
        <f>C4+B4</f>
        <v>460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120</v>
      </c>
      <c r="C5" s="107">
        <f>Mannschaftstipps!$I$16</f>
        <v>335</v>
      </c>
      <c r="D5" s="107">
        <f>C5+B5</f>
        <v>455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60</v>
      </c>
      <c r="C6" s="110">
        <f>Mannschaftstipps!$M$16</f>
        <v>325</v>
      </c>
      <c r="D6" s="110">
        <f>C6+B6</f>
        <v>385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120</v>
      </c>
      <c r="C7" s="107">
        <f>Mannschaftstipps!$E$33</f>
        <v>355</v>
      </c>
      <c r="D7" s="107">
        <f t="shared" ref="D7:D12" si="1">C7+B7</f>
        <v>475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180</v>
      </c>
      <c r="C8" s="110">
        <f>Mannschaftstipps!$I$33</f>
        <v>385</v>
      </c>
      <c r="D8" s="110">
        <f t="shared" si="1"/>
        <v>565</v>
      </c>
      <c r="E8" s="111">
        <f t="shared" si="0"/>
        <v>50</v>
      </c>
    </row>
    <row r="9" spans="1:5" x14ac:dyDescent="0.2">
      <c r="A9" s="106" t="s">
        <v>53</v>
      </c>
      <c r="B9" s="107">
        <f>Ergebnistipps!$G$29</f>
        <v>180</v>
      </c>
      <c r="C9" s="107">
        <f>Mannschaftstipps!$M$33</f>
        <v>265</v>
      </c>
      <c r="D9" s="107">
        <f t="shared" si="1"/>
        <v>445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180</v>
      </c>
      <c r="C10" s="110">
        <f>Mannschaftstipps!$E$50</f>
        <v>365</v>
      </c>
      <c r="D10" s="110">
        <f t="shared" si="1"/>
        <v>545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180</v>
      </c>
      <c r="C11" s="107">
        <f>Mannschaftstipps!$I$50</f>
        <v>335</v>
      </c>
      <c r="D11" s="107">
        <f t="shared" si="1"/>
        <v>515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160</v>
      </c>
      <c r="C12" s="110">
        <f>Mannschaftstipps!$M$50</f>
        <v>265</v>
      </c>
      <c r="D12" s="110">
        <f t="shared" si="1"/>
        <v>425</v>
      </c>
      <c r="E12" s="111">
        <f t="shared" si="0"/>
        <v>0</v>
      </c>
    </row>
    <row r="13" spans="1:5" s="167" customFormat="1" x14ac:dyDescent="0.2">
      <c r="B13" s="168"/>
      <c r="C13" s="168"/>
      <c r="D13" s="217">
        <f>MAX(D4:D12)</f>
        <v>565</v>
      </c>
      <c r="E13" s="168"/>
    </row>
    <row r="14" spans="1:5" s="167" customFormat="1" x14ac:dyDescent="0.2">
      <c r="B14" s="168"/>
      <c r="C14" s="168"/>
      <c r="D14" s="168"/>
      <c r="E14" s="168"/>
    </row>
    <row r="15" spans="1:5" s="167" customFormat="1" x14ac:dyDescent="0.2">
      <c r="B15" s="168"/>
      <c r="C15" s="168"/>
      <c r="D15" s="168"/>
      <c r="E15" s="168"/>
    </row>
    <row r="16" spans="1:5" s="167" customFormat="1" x14ac:dyDescent="0.2">
      <c r="B16" s="168"/>
      <c r="C16" s="168"/>
      <c r="D16" s="168"/>
      <c r="E16" s="168"/>
    </row>
    <row r="17" spans="2:5" s="167" customFormat="1" x14ac:dyDescent="0.2">
      <c r="B17" s="168"/>
      <c r="C17" s="168"/>
      <c r="D17" s="168"/>
      <c r="E17" s="168"/>
    </row>
    <row r="18" spans="2:5" s="167" customFormat="1" x14ac:dyDescent="0.2">
      <c r="B18" s="168"/>
      <c r="C18" s="168"/>
      <c r="D18" s="168"/>
      <c r="E18" s="168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2024-02-19T08:19:00Z</cp:lastPrinted>
  <dcterms:created xsi:type="dcterms:W3CDTF">1999-07-16T21:37:12Z</dcterms:created>
  <dcterms:modified xsi:type="dcterms:W3CDTF">2024-02-19T08:20:52Z</dcterms:modified>
</cp:coreProperties>
</file>